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60" yWindow="195" windowWidth="11340" windowHeight="6360" tabRatio="923" activeTab="0"/>
  </bookViews>
  <sheets>
    <sheet name="Planilha de Preços" sheetId="1" r:id="rId1"/>
    <sheet name="1. Forn. de Mudas e Plantio" sheetId="2" r:id="rId2"/>
    <sheet name="2. Poda" sheetId="3" r:id="rId3"/>
    <sheet name="3. Zeladoria de Praças" sheetId="4" r:id="rId4"/>
    <sheet name="4. Irrigação" sheetId="5" r:id="rId5"/>
    <sheet name="5. ADM LOCAL" sheetId="6" r:id="rId6"/>
    <sheet name="COMPOSIÇÃO DOS ENCARGOS " sheetId="7" r:id="rId7"/>
    <sheet name="BDI REF. SLU" sheetId="8" r:id="rId8"/>
    <sheet name="Insumos" sheetId="9" r:id="rId9"/>
    <sheet name="Outros Insumos" sheetId="10" r:id="rId10"/>
  </sheets>
  <externalReferences>
    <externalReference r:id="rId13"/>
    <externalReference r:id="rId14"/>
  </externalReferences>
  <definedNames>
    <definedName name="_Table1_In1" localSheetId="2" hidden="1">#REF!</definedName>
    <definedName name="_Table1_In1" localSheetId="3" hidden="1">#REF!</definedName>
    <definedName name="_Table1_In1" localSheetId="4" hidden="1">#REF!</definedName>
    <definedName name="_Table1_In1" localSheetId="5" hidden="1">#REF!</definedName>
    <definedName name="_Table1_In1" localSheetId="9" hidden="1">#REF!</definedName>
    <definedName name="_Table1_In1" hidden="1">#REF!</definedName>
    <definedName name="_Table1_Out" localSheetId="2" hidden="1">#REF!</definedName>
    <definedName name="_Table1_Out" localSheetId="3" hidden="1">#REF!</definedName>
    <definedName name="_Table1_Out" localSheetId="4" hidden="1">#REF!</definedName>
    <definedName name="_Table1_Out" localSheetId="5" hidden="1">#REF!</definedName>
    <definedName name="_Table1_Out" localSheetId="9" hidden="1">#REF!</definedName>
    <definedName name="_Table1_Out" hidden="1">#REF!</definedName>
    <definedName name="_Table2_In1" localSheetId="2" hidden="1">#REF!</definedName>
    <definedName name="_Table2_In1" localSheetId="3" hidden="1">#REF!</definedName>
    <definedName name="_Table2_In1" localSheetId="4" hidden="1">#REF!</definedName>
    <definedName name="_Table2_In1" localSheetId="5" hidden="1">#REF!</definedName>
    <definedName name="_Table2_In1" localSheetId="9" hidden="1">#REF!</definedName>
    <definedName name="_Table2_In1" hidden="1">#REF!</definedName>
    <definedName name="_Table2_Out" localSheetId="2" hidden="1">#REF!</definedName>
    <definedName name="_Table2_Out" localSheetId="3" hidden="1">#REF!</definedName>
    <definedName name="_Table2_Out" localSheetId="4" hidden="1">#REF!</definedName>
    <definedName name="_Table2_Out" localSheetId="5" hidden="1">#REF!</definedName>
    <definedName name="_Table2_Out" localSheetId="9" hidden="1">#REF!</definedName>
    <definedName name="_Table2_Out" hidden="1">#REF!</definedName>
    <definedName name="_xlfn.SUMIFS" hidden="1">#NAME?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9">#REF!</definedName>
    <definedName name="A">#REF!</definedName>
    <definedName name="Acréscimo_de_hora_extra" localSheetId="2">#REF!</definedName>
    <definedName name="Acréscimo_de_hora_extra" localSheetId="3">#REF!</definedName>
    <definedName name="Acréscimo_de_hora_extra" localSheetId="4">#REF!</definedName>
    <definedName name="Acréscimo_de_hora_extra" localSheetId="5">#REF!</definedName>
    <definedName name="Acréscimo_de_hora_extra" localSheetId="9">#REF!</definedName>
    <definedName name="Acréscimo_de_hora_extra">#REF!</definedName>
    <definedName name="Acréscimo_feriado" localSheetId="2">#REF!</definedName>
    <definedName name="Acréscimo_feriado" localSheetId="3">#REF!</definedName>
    <definedName name="Acréscimo_feriado" localSheetId="4">#REF!</definedName>
    <definedName name="Acréscimo_feriado" localSheetId="5">#REF!</definedName>
    <definedName name="Acréscimo_feriado" localSheetId="9">#REF!</definedName>
    <definedName name="Acréscimo_feriado">#REF!</definedName>
    <definedName name="Adicional_noturno" localSheetId="2">#REF!</definedName>
    <definedName name="Adicional_noturno" localSheetId="3">#REF!</definedName>
    <definedName name="Adicional_noturno" localSheetId="4">#REF!</definedName>
    <definedName name="Adicional_noturno" localSheetId="5">#REF!</definedName>
    <definedName name="Adicional_noturno" localSheetId="9">#REF!</definedName>
    <definedName name="Adicional_noturno">#REF!</definedName>
    <definedName name="Ajudante_diu_cap_mec" localSheetId="2">#REF!</definedName>
    <definedName name="Ajudante_diu_cap_mec" localSheetId="3">#REF!</definedName>
    <definedName name="Ajudante_diu_cap_mec" localSheetId="4">#REF!</definedName>
    <definedName name="Ajudante_diu_cap_mec" localSheetId="5">#REF!</definedName>
    <definedName name="Ajudante_diu_cap_mec" localSheetId="9">#REF!</definedName>
    <definedName name="Ajudante_diu_cap_mec">#REF!</definedName>
    <definedName name="Ajudante_diu_cap_mec_res" localSheetId="2">#REF!</definedName>
    <definedName name="Ajudante_diu_cap_mec_res" localSheetId="3">#REF!</definedName>
    <definedName name="Ajudante_diu_cap_mec_res" localSheetId="4">#REF!</definedName>
    <definedName name="Ajudante_diu_cap_mec_res" localSheetId="5">#REF!</definedName>
    <definedName name="Ajudante_diu_cap_mec_res" localSheetId="9">#REF!</definedName>
    <definedName name="Ajudante_diu_cap_mec_res">#REF!</definedName>
    <definedName name="Ajudante_diu_eq_padrão" localSheetId="2">#REF!</definedName>
    <definedName name="Ajudante_diu_eq_padrão" localSheetId="3">#REF!</definedName>
    <definedName name="Ajudante_diu_eq_padrão" localSheetId="4">#REF!</definedName>
    <definedName name="Ajudante_diu_eq_padrão" localSheetId="5">#REF!</definedName>
    <definedName name="Ajudante_diu_eq_padrão" localSheetId="9">#REF!</definedName>
    <definedName name="Ajudante_diu_eq_padrão">#REF!</definedName>
    <definedName name="Ajudante_diu_eq_padrão_res" localSheetId="2">#REF!</definedName>
    <definedName name="Ajudante_diu_eq_padrão_res" localSheetId="3">#REF!</definedName>
    <definedName name="Ajudante_diu_eq_padrão_res" localSheetId="4">#REF!</definedName>
    <definedName name="Ajudante_diu_eq_padrão_res" localSheetId="5">#REF!</definedName>
    <definedName name="Ajudante_diu_eq_padrão_res" localSheetId="9">#REF!</definedName>
    <definedName name="Ajudante_diu_eq_padrão_res">#REF!</definedName>
    <definedName name="Ajudante_diu_lav_vias" localSheetId="2">#REF!</definedName>
    <definedName name="Ajudante_diu_lav_vias" localSheetId="3">#REF!</definedName>
    <definedName name="Ajudante_diu_lav_vias" localSheetId="4">#REF!</definedName>
    <definedName name="Ajudante_diu_lav_vias" localSheetId="5">#REF!</definedName>
    <definedName name="Ajudante_diu_lav_vias" localSheetId="9">#REF!</definedName>
    <definedName name="Ajudante_diu_lav_vias">#REF!</definedName>
    <definedName name="Ajudante_diu_lav_vias_res" localSheetId="2">#REF!</definedName>
    <definedName name="Ajudante_diu_lav_vias_res" localSheetId="3">#REF!</definedName>
    <definedName name="Ajudante_diu_lav_vias_res" localSheetId="4">#REF!</definedName>
    <definedName name="Ajudante_diu_lav_vias_res" localSheetId="5">#REF!</definedName>
    <definedName name="Ajudante_diu_lav_vias_res" localSheetId="9">#REF!</definedName>
    <definedName name="Ajudante_diu_lav_vias_res">#REF!</definedName>
    <definedName name="Ajudante_diu_op_aterro" localSheetId="2">#REF!</definedName>
    <definedName name="Ajudante_diu_op_aterro" localSheetId="3">#REF!</definedName>
    <definedName name="Ajudante_diu_op_aterro" localSheetId="4">#REF!</definedName>
    <definedName name="Ajudante_diu_op_aterro" localSheetId="5">#REF!</definedName>
    <definedName name="Ajudante_diu_op_aterro" localSheetId="9">#REF!</definedName>
    <definedName name="Ajudante_diu_op_aterro">#REF!</definedName>
    <definedName name="Ajudante_diu_op_aterro_res" localSheetId="2">#REF!</definedName>
    <definedName name="Ajudante_diu_op_aterro_res" localSheetId="3">#REF!</definedName>
    <definedName name="Ajudante_diu_op_aterro_res" localSheetId="4">#REF!</definedName>
    <definedName name="Ajudante_diu_op_aterro_res" localSheetId="5">#REF!</definedName>
    <definedName name="Ajudante_diu_op_aterro_res" localSheetId="9">#REF!</definedName>
    <definedName name="Ajudante_diu_op_aterro_res">#REF!</definedName>
    <definedName name="Ajudante_diu_usi_rec_comp" localSheetId="2">#REF!</definedName>
    <definedName name="Ajudante_diu_usi_rec_comp" localSheetId="3">#REF!</definedName>
    <definedName name="Ajudante_diu_usi_rec_comp" localSheetId="4">#REF!</definedName>
    <definedName name="Ajudante_diu_usi_rec_comp" localSheetId="5">#REF!</definedName>
    <definedName name="Ajudante_diu_usi_rec_comp" localSheetId="9">#REF!</definedName>
    <definedName name="Ajudante_diu_usi_rec_comp">#REF!</definedName>
    <definedName name="Ajudante_diu_usi_rec_comp_res" localSheetId="2">#REF!</definedName>
    <definedName name="Ajudante_diu_usi_rec_comp_res" localSheetId="3">#REF!</definedName>
    <definedName name="Ajudante_diu_usi_rec_comp_res" localSheetId="4">#REF!</definedName>
    <definedName name="Ajudante_diu_usi_rec_comp_res" localSheetId="5">#REF!</definedName>
    <definedName name="Ajudante_diu_usi_rec_comp_res" localSheetId="9">#REF!</definedName>
    <definedName name="Ajudante_diu_usi_rec_comp_res">#REF!</definedName>
    <definedName name="Ajudante_diu_usi_tra_RSSS" localSheetId="2">#REF!</definedName>
    <definedName name="Ajudante_diu_usi_tra_RSSS" localSheetId="3">#REF!</definedName>
    <definedName name="Ajudante_diu_usi_tra_RSSS" localSheetId="4">#REF!</definedName>
    <definedName name="Ajudante_diu_usi_tra_RSSS" localSheetId="5">#REF!</definedName>
    <definedName name="Ajudante_diu_usi_tra_RSSS" localSheetId="9">#REF!</definedName>
    <definedName name="Ajudante_diu_usi_tra_RSSS">#REF!</definedName>
    <definedName name="Ajudante_diu_usi_tra_RSSS_res" localSheetId="2">#REF!</definedName>
    <definedName name="Ajudante_diu_usi_tra_RSSS_res" localSheetId="3">#REF!</definedName>
    <definedName name="Ajudante_diu_usi_tra_RSSS_res" localSheetId="4">#REF!</definedName>
    <definedName name="Ajudante_diu_usi_tra_RSSS_res" localSheetId="5">#REF!</definedName>
    <definedName name="Ajudante_diu_usi_tra_RSSS_res" localSheetId="9">#REF!</definedName>
    <definedName name="Ajudante_diu_usi_tra_RSSS_res">#REF!</definedName>
    <definedName name="Ajudante_not_cap_mec" localSheetId="2">#REF!</definedName>
    <definedName name="Ajudante_not_cap_mec" localSheetId="3">#REF!</definedName>
    <definedName name="Ajudante_not_cap_mec" localSheetId="4">#REF!</definedName>
    <definedName name="Ajudante_not_cap_mec" localSheetId="5">#REF!</definedName>
    <definedName name="Ajudante_not_cap_mec" localSheetId="9">#REF!</definedName>
    <definedName name="Ajudante_not_cap_mec">#REF!</definedName>
    <definedName name="Ajudante_not_cap_mec_res" localSheetId="2">#REF!</definedName>
    <definedName name="Ajudante_not_cap_mec_res" localSheetId="3">#REF!</definedName>
    <definedName name="Ajudante_not_cap_mec_res" localSheetId="4">#REF!</definedName>
    <definedName name="Ajudante_not_cap_mec_res" localSheetId="5">#REF!</definedName>
    <definedName name="Ajudante_not_cap_mec_res" localSheetId="9">#REF!</definedName>
    <definedName name="Ajudante_not_cap_mec_res">#REF!</definedName>
    <definedName name="Ajudante_not_eq_padrão" localSheetId="2">#REF!</definedName>
    <definedName name="Ajudante_not_eq_padrão" localSheetId="3">#REF!</definedName>
    <definedName name="Ajudante_not_eq_padrão" localSheetId="4">#REF!</definedName>
    <definedName name="Ajudante_not_eq_padrão" localSheetId="5">#REF!</definedName>
    <definedName name="Ajudante_not_eq_padrão" localSheetId="9">#REF!</definedName>
    <definedName name="Ajudante_not_eq_padrão">#REF!</definedName>
    <definedName name="Ajudante_not_eq_padrão_res" localSheetId="2">#REF!</definedName>
    <definedName name="Ajudante_not_eq_padrão_res" localSheetId="3">#REF!</definedName>
    <definedName name="Ajudante_not_eq_padrão_res" localSheetId="4">#REF!</definedName>
    <definedName name="Ajudante_not_eq_padrão_res" localSheetId="5">#REF!</definedName>
    <definedName name="Ajudante_not_eq_padrão_res" localSheetId="9">#REF!</definedName>
    <definedName name="Ajudante_not_eq_padrão_res">#REF!</definedName>
    <definedName name="Ajudante_not_lav_vias" localSheetId="2">#REF!</definedName>
    <definedName name="Ajudante_not_lav_vias" localSheetId="3">#REF!</definedName>
    <definedName name="Ajudante_not_lav_vias" localSheetId="4">#REF!</definedName>
    <definedName name="Ajudante_not_lav_vias" localSheetId="5">#REF!</definedName>
    <definedName name="Ajudante_not_lav_vias" localSheetId="9">#REF!</definedName>
    <definedName name="Ajudante_not_lav_vias">#REF!</definedName>
    <definedName name="Ajudante_not_lav_vias_res" localSheetId="2">#REF!</definedName>
    <definedName name="Ajudante_not_lav_vias_res" localSheetId="3">#REF!</definedName>
    <definedName name="Ajudante_not_lav_vias_res" localSheetId="4">#REF!</definedName>
    <definedName name="Ajudante_not_lav_vias_res" localSheetId="5">#REF!</definedName>
    <definedName name="Ajudante_not_lav_vias_res" localSheetId="9">#REF!</definedName>
    <definedName name="Ajudante_not_lav_vias_res">#REF!</definedName>
    <definedName name="Ajudante_not_op_aterro" localSheetId="2">#REF!</definedName>
    <definedName name="Ajudante_not_op_aterro" localSheetId="3">#REF!</definedName>
    <definedName name="Ajudante_not_op_aterro" localSheetId="4">#REF!</definedName>
    <definedName name="Ajudante_not_op_aterro" localSheetId="5">#REF!</definedName>
    <definedName name="Ajudante_not_op_aterro" localSheetId="9">#REF!</definedName>
    <definedName name="Ajudante_not_op_aterro">#REF!</definedName>
    <definedName name="Ajudante_not_op_aterro_res" localSheetId="2">#REF!</definedName>
    <definedName name="Ajudante_not_op_aterro_res" localSheetId="3">#REF!</definedName>
    <definedName name="Ajudante_not_op_aterro_res" localSheetId="4">#REF!</definedName>
    <definedName name="Ajudante_not_op_aterro_res" localSheetId="5">#REF!</definedName>
    <definedName name="Ajudante_not_op_aterro_res" localSheetId="9">#REF!</definedName>
    <definedName name="Ajudante_not_op_aterro_res">#REF!</definedName>
    <definedName name="Ajudante_not_usi_rec_comp" localSheetId="2">#REF!</definedName>
    <definedName name="Ajudante_not_usi_rec_comp" localSheetId="3">#REF!</definedName>
    <definedName name="Ajudante_not_usi_rec_comp" localSheetId="4">#REF!</definedName>
    <definedName name="Ajudante_not_usi_rec_comp" localSheetId="5">#REF!</definedName>
    <definedName name="Ajudante_not_usi_rec_comp" localSheetId="9">#REF!</definedName>
    <definedName name="Ajudante_not_usi_rec_comp">#REF!</definedName>
    <definedName name="Ajudante_not_usi_rec_comp_res" localSheetId="2">#REF!</definedName>
    <definedName name="Ajudante_not_usi_rec_comp_res" localSheetId="3">#REF!</definedName>
    <definedName name="Ajudante_not_usi_rec_comp_res" localSheetId="4">#REF!</definedName>
    <definedName name="Ajudante_not_usi_rec_comp_res" localSheetId="5">#REF!</definedName>
    <definedName name="Ajudante_not_usi_rec_comp_res" localSheetId="9">#REF!</definedName>
    <definedName name="Ajudante_not_usi_rec_comp_res">#REF!</definedName>
    <definedName name="Ajudante_not_usi_tra_RSSS" localSheetId="2">#REF!</definedName>
    <definedName name="Ajudante_not_usi_tra_RSSS" localSheetId="3">#REF!</definedName>
    <definedName name="Ajudante_not_usi_tra_RSSS" localSheetId="4">#REF!</definedName>
    <definedName name="Ajudante_not_usi_tra_RSSS" localSheetId="5">#REF!</definedName>
    <definedName name="Ajudante_not_usi_tra_RSSS" localSheetId="9">#REF!</definedName>
    <definedName name="Ajudante_not_usi_tra_RSSS">#REF!</definedName>
    <definedName name="Ajudante_not_usi_tra_RSSS_res" localSheetId="2">#REF!</definedName>
    <definedName name="Ajudante_not_usi_tra_RSSS_res" localSheetId="3">#REF!</definedName>
    <definedName name="Ajudante_not_usi_tra_RSSS_res" localSheetId="4">#REF!</definedName>
    <definedName name="Ajudante_not_usi_tra_RSSS_res" localSheetId="5">#REF!</definedName>
    <definedName name="Ajudante_not_usi_tra_RSSS_res" localSheetId="9">#REF!</definedName>
    <definedName name="Ajudante_not_usi_tra_RSSS_res">#REF!</definedName>
    <definedName name="Análise" localSheetId="2">#REF!</definedName>
    <definedName name="Análise" localSheetId="3">#REF!</definedName>
    <definedName name="Análise" localSheetId="4">#REF!</definedName>
    <definedName name="Análise" localSheetId="5">#REF!</definedName>
    <definedName name="Análise" localSheetId="9">#REF!</definedName>
    <definedName name="Análise">#REF!</definedName>
    <definedName name="AnimCapa" localSheetId="2">#REF!</definedName>
    <definedName name="AnimCapa" localSheetId="3">#REF!</definedName>
    <definedName name="AnimCapa" localSheetId="4">#REF!</definedName>
    <definedName name="AnimCapa" localSheetId="5">#REF!</definedName>
    <definedName name="AnimCapa" localSheetId="9">#REF!</definedName>
    <definedName name="AnimCapa">#REF!</definedName>
    <definedName name="AnimDetalhes" localSheetId="2">#REF!</definedName>
    <definedName name="AnimDetalhes" localSheetId="3">#REF!</definedName>
    <definedName name="AnimDetalhes" localSheetId="4">#REF!</definedName>
    <definedName name="AnimDetalhes" localSheetId="5">#REF!</definedName>
    <definedName name="AnimDetalhes" localSheetId="9">#REF!</definedName>
    <definedName name="AnimDetalhes">#REF!</definedName>
    <definedName name="Apoio" localSheetId="2">#REF!</definedName>
    <definedName name="Apoio" localSheetId="3">#REF!</definedName>
    <definedName name="Apoio" localSheetId="4">#REF!</definedName>
    <definedName name="Apoio" localSheetId="5">#REF!</definedName>
    <definedName name="Apoio" localSheetId="9">#REF!</definedName>
    <definedName name="Apoio">#REF!</definedName>
    <definedName name="_xlnm.Print_Area" localSheetId="1">'1. Forn. de Mudas e Plantio'!$B$1:$K$177</definedName>
    <definedName name="_xlnm.Print_Area" localSheetId="2">'2. Poda'!$B$1:$K$194</definedName>
    <definedName name="_xlnm.Print_Area" localSheetId="4">'4. Irrigação'!$B$1:$K$120</definedName>
    <definedName name="_xlnm.Print_Area" localSheetId="5">'5. ADM LOCAL'!$B$1:$L$184</definedName>
    <definedName name="_xlnm.Print_Area" localSheetId="7">'BDI REF. SLU'!$A$1:$B$36</definedName>
    <definedName name="_xlnm.Print_Area" localSheetId="6">'COMPOSIÇÃO DOS ENCARGOS '!$A$1:$C$45</definedName>
    <definedName name="_xlnm.Print_Area" localSheetId="8">'Insumos'!$B$1:$E$100</definedName>
    <definedName name="_xlnm.Print_Area" localSheetId="9">'Outros Insumos'!$B$1:$J$42</definedName>
    <definedName name="_xlnm.Print_Area" localSheetId="0">'Planilha de Preços'!$A$1:$F$39</definedName>
    <definedName name="AterroCapa" localSheetId="2">#REF!</definedName>
    <definedName name="AterroCapa" localSheetId="3">#REF!</definedName>
    <definedName name="AterroCapa" localSheetId="4">#REF!</definedName>
    <definedName name="AterroCapa" localSheetId="5">#REF!</definedName>
    <definedName name="AterroCapa" localSheetId="9">#REF!</definedName>
    <definedName name="AterroCapa">#REF!</definedName>
    <definedName name="AterroDetalhes" localSheetId="2">#REF!</definedName>
    <definedName name="AterroDetalhes" localSheetId="3">#REF!</definedName>
    <definedName name="AterroDetalhes" localSheetId="4">#REF!</definedName>
    <definedName name="AterroDetalhes" localSheetId="5">#REF!</definedName>
    <definedName name="AterroDetalhes" localSheetId="9">#REF!</definedName>
    <definedName name="AterroDetalhes">#REF!</definedName>
    <definedName name="B" localSheetId="2">#REF!</definedName>
    <definedName name="B" localSheetId="3">#REF!</definedName>
    <definedName name="B" localSheetId="4">#REF!</definedName>
    <definedName name="B" localSheetId="5">#REF!</definedName>
    <definedName name="B" localSheetId="9">#REF!</definedName>
    <definedName name="B">#REF!</definedName>
    <definedName name="BANCO" localSheetId="2">#REF!</definedName>
    <definedName name="BANCO" localSheetId="3">#REF!</definedName>
    <definedName name="BANCO" localSheetId="4">#REF!</definedName>
    <definedName name="BANCO" localSheetId="5">#REF!</definedName>
    <definedName name="BANCO" localSheetId="9">#REF!</definedName>
    <definedName name="BANCO">#REF!</definedName>
    <definedName name="Banco_dados_IM" localSheetId="2">#REF!</definedName>
    <definedName name="Banco_dados_IM" localSheetId="3">#REF!</definedName>
    <definedName name="Banco_dados_IM" localSheetId="4">#REF!</definedName>
    <definedName name="Banco_dados_IM" localSheetId="5">#REF!</definedName>
    <definedName name="Banco_dados_IM" localSheetId="9">#REF!</definedName>
    <definedName name="Banco_dados_IM">#REF!</definedName>
    <definedName name="Basc" localSheetId="2">#REF!</definedName>
    <definedName name="Basc" localSheetId="3">#REF!</definedName>
    <definedName name="Basc" localSheetId="4">#REF!</definedName>
    <definedName name="Basc" localSheetId="5">#REF!</definedName>
    <definedName name="Basc" localSheetId="9">#REF!</definedName>
    <definedName name="Basc">#REF!</definedName>
    <definedName name="BD_sal_aju_aterro" localSheetId="2">#REF!</definedName>
    <definedName name="BD_sal_aju_aterro" localSheetId="3">#REF!</definedName>
    <definedName name="BD_sal_aju_aterro" localSheetId="4">#REF!</definedName>
    <definedName name="BD_sal_aju_aterro" localSheetId="5">#REF!</definedName>
    <definedName name="BD_sal_aju_aterro" localSheetId="9">#REF!</definedName>
    <definedName name="BD_sal_aju_aterro">#REF!</definedName>
    <definedName name="BD_sal_aju_cam_aberto" localSheetId="2">#REF!</definedName>
    <definedName name="BD_sal_aju_cam_aberto" localSheetId="3">#REF!</definedName>
    <definedName name="BD_sal_aju_cam_aberto" localSheetId="4">#REF!</definedName>
    <definedName name="BD_sal_aju_cam_aberto" localSheetId="5">#REF!</definedName>
    <definedName name="BD_sal_aju_cam_aberto" localSheetId="9">#REF!</definedName>
    <definedName name="BD_sal_aju_cam_aberto">#REF!</definedName>
    <definedName name="BD_sal_aju_mec_cam_com" localSheetId="2">#REF!</definedName>
    <definedName name="BD_sal_aju_mec_cam_com" localSheetId="3">#REF!</definedName>
    <definedName name="BD_sal_aju_mec_cam_com" localSheetId="4">#REF!</definedName>
    <definedName name="BD_sal_aju_mec_cam_com" localSheetId="5">#REF!</definedName>
    <definedName name="BD_sal_aju_mec_cam_com" localSheetId="9">#REF!</definedName>
    <definedName name="BD_sal_aju_mec_cam_com">#REF!</definedName>
    <definedName name="BD_sal_aju_usi_tra_RSSS" localSheetId="2">#REF!</definedName>
    <definedName name="BD_sal_aju_usi_tra_RSSS" localSheetId="3">#REF!</definedName>
    <definedName name="BD_sal_aju_usi_tra_RSSS" localSheetId="4">#REF!</definedName>
    <definedName name="BD_sal_aju_usi_tra_RSSS" localSheetId="5">#REF!</definedName>
    <definedName name="BD_sal_aju_usi_tra_RSSS" localSheetId="9">#REF!</definedName>
    <definedName name="BD_sal_aju_usi_tra_RSSS">#REF!</definedName>
    <definedName name="BD_sal_carrinheiro" localSheetId="2">#REF!</definedName>
    <definedName name="BD_sal_carrinheiro" localSheetId="3">#REF!</definedName>
    <definedName name="BD_sal_carrinheiro" localSheetId="4">#REF!</definedName>
    <definedName name="BD_sal_carrinheiro" localSheetId="5">#REF!</definedName>
    <definedName name="BD_sal_carrinheiro" localSheetId="9">#REF!</definedName>
    <definedName name="BD_sal_carrinheiro">#REF!</definedName>
    <definedName name="BD_sal_coletor_dom" localSheetId="2">#REF!</definedName>
    <definedName name="BD_sal_coletor_dom" localSheetId="3">#REF!</definedName>
    <definedName name="BD_sal_coletor_dom" localSheetId="4">#REF!</definedName>
    <definedName name="BD_sal_coletor_dom" localSheetId="5">#REF!</definedName>
    <definedName name="BD_sal_coletor_dom" localSheetId="9">#REF!</definedName>
    <definedName name="BD_sal_coletor_dom">#REF!</definedName>
    <definedName name="BD_sal_coletor_hosp" localSheetId="2">#REF!</definedName>
    <definedName name="BD_sal_coletor_hosp" localSheetId="3">#REF!</definedName>
    <definedName name="BD_sal_coletor_hosp" localSheetId="4">#REF!</definedName>
    <definedName name="BD_sal_coletor_hosp" localSheetId="5">#REF!</definedName>
    <definedName name="BD_sal_coletor_hosp" localSheetId="9">#REF!</definedName>
    <definedName name="BD_sal_coletor_hosp">#REF!</definedName>
    <definedName name="BD_sal_coletor_varrição" localSheetId="2">#REF!</definedName>
    <definedName name="BD_sal_coletor_varrição" localSheetId="3">#REF!</definedName>
    <definedName name="BD_sal_coletor_varrição" localSheetId="4">#REF!</definedName>
    <definedName name="BD_sal_coletor_varrição" localSheetId="5">#REF!</definedName>
    <definedName name="BD_sal_coletor_varrição" localSheetId="9">#REF!</definedName>
    <definedName name="BD_sal_coletor_varrição">#REF!</definedName>
    <definedName name="BD_sal_encarregado" localSheetId="2">#REF!</definedName>
    <definedName name="BD_sal_encarregado" localSheetId="3">#REF!</definedName>
    <definedName name="BD_sal_encarregado" localSheetId="4">#REF!</definedName>
    <definedName name="BD_sal_encarregado" localSheetId="5">#REF!</definedName>
    <definedName name="BD_sal_encarregado" localSheetId="9">#REF!</definedName>
    <definedName name="BD_sal_encarregado">#REF!</definedName>
    <definedName name="BD_sal_encarregado_aterro" localSheetId="2">#REF!</definedName>
    <definedName name="BD_sal_encarregado_aterro" localSheetId="3">#REF!</definedName>
    <definedName name="BD_sal_encarregado_aterro" localSheetId="4">#REF!</definedName>
    <definedName name="BD_sal_encarregado_aterro" localSheetId="5">#REF!</definedName>
    <definedName name="BD_sal_encarregado_aterro" localSheetId="9">#REF!</definedName>
    <definedName name="BD_sal_encarregado_aterro">#REF!</definedName>
    <definedName name="BD_sal_feitor_varrição" localSheetId="2">#REF!</definedName>
    <definedName name="BD_sal_feitor_varrição" localSheetId="3">#REF!</definedName>
    <definedName name="BD_sal_feitor_varrição" localSheetId="4">#REF!</definedName>
    <definedName name="BD_sal_feitor_varrição" localSheetId="5">#REF!</definedName>
    <definedName name="BD_sal_feitor_varrição" localSheetId="9">#REF!</definedName>
    <definedName name="BD_sal_feitor_varrição">#REF!</definedName>
    <definedName name="BD_sal_gari" localSheetId="2">#REF!</definedName>
    <definedName name="BD_sal_gari" localSheetId="3">#REF!</definedName>
    <definedName name="BD_sal_gari" localSheetId="4">#REF!</definedName>
    <definedName name="BD_sal_gari" localSheetId="5">#REF!</definedName>
    <definedName name="BD_sal_gari" localSheetId="9">#REF!</definedName>
    <definedName name="BD_sal_gari">#REF!</definedName>
    <definedName name="BD_sal_jardineiro" localSheetId="2">#REF!</definedName>
    <definedName name="BD_sal_jardineiro" localSheetId="3">#REF!</definedName>
    <definedName name="BD_sal_jardineiro" localSheetId="4">#REF!</definedName>
    <definedName name="BD_sal_jardineiro" localSheetId="5">#REF!</definedName>
    <definedName name="BD_sal_jardineiro" localSheetId="9">#REF!</definedName>
    <definedName name="BD_sal_jardineiro">#REF!</definedName>
    <definedName name="BD_sal_lav_cam_com" localSheetId="2">#REF!</definedName>
    <definedName name="BD_sal_lav_cam_com" localSheetId="3">#REF!</definedName>
    <definedName name="BD_sal_lav_cam_com" localSheetId="4">#REF!</definedName>
    <definedName name="BD_sal_lav_cam_com" localSheetId="5">#REF!</definedName>
    <definedName name="BD_sal_lav_cam_com" localSheetId="9">#REF!</definedName>
    <definedName name="BD_sal_lav_cam_com">#REF!</definedName>
    <definedName name="BD_sal_limp_boca_lobo" localSheetId="2">#REF!</definedName>
    <definedName name="BD_sal_limp_boca_lobo" localSheetId="3">#REF!</definedName>
    <definedName name="BD_sal_limp_boca_lobo" localSheetId="4">#REF!</definedName>
    <definedName name="BD_sal_limp_boca_lobo" localSheetId="5">#REF!</definedName>
    <definedName name="BD_sal_limp_boca_lobo" localSheetId="9">#REF!</definedName>
    <definedName name="BD_sal_limp_boca_lobo">#REF!</definedName>
    <definedName name="BD_sal_limp_fossa" localSheetId="2">#REF!</definedName>
    <definedName name="BD_sal_limp_fossa" localSheetId="3">#REF!</definedName>
    <definedName name="BD_sal_limp_fossa" localSheetId="4">#REF!</definedName>
    <definedName name="BD_sal_limp_fossa" localSheetId="5">#REF!</definedName>
    <definedName name="BD_sal_limp_fossa" localSheetId="9">#REF!</definedName>
    <definedName name="BD_sal_limp_fossa">#REF!</definedName>
    <definedName name="BD_sal_mec_cam_com" localSheetId="2">#REF!</definedName>
    <definedName name="BD_sal_mec_cam_com" localSheetId="3">#REF!</definedName>
    <definedName name="BD_sal_mec_cam_com" localSheetId="4">#REF!</definedName>
    <definedName name="BD_sal_mec_cam_com" localSheetId="5">#REF!</definedName>
    <definedName name="BD_sal_mec_cam_com" localSheetId="9">#REF!</definedName>
    <definedName name="BD_sal_mec_cam_com">#REF!</definedName>
    <definedName name="BD_sal_mot_cam_com" localSheetId="2">#REF!</definedName>
    <definedName name="BD_sal_mot_cam_com" localSheetId="3">#REF!</definedName>
    <definedName name="BD_sal_mot_cam_com" localSheetId="4">#REF!</definedName>
    <definedName name="BD_sal_mot_cam_com" localSheetId="5">#REF!</definedName>
    <definedName name="BD_sal_mot_cam_com" localSheetId="9">#REF!</definedName>
    <definedName name="BD_sal_mot_cam_com">#REF!</definedName>
    <definedName name="BD_sal_op_balança" localSheetId="2">#REF!</definedName>
    <definedName name="BD_sal_op_balança" localSheetId="3">#REF!</definedName>
    <definedName name="BD_sal_op_balança" localSheetId="4">#REF!</definedName>
    <definedName name="BD_sal_op_balança" localSheetId="5">#REF!</definedName>
    <definedName name="BD_sal_op_balança" localSheetId="9">#REF!</definedName>
    <definedName name="BD_sal_op_balança">#REF!</definedName>
    <definedName name="BD_sal_op_maq_capinadeira" localSheetId="2">#REF!</definedName>
    <definedName name="BD_sal_op_maq_capinadeira" localSheetId="3">#REF!</definedName>
    <definedName name="BD_sal_op_maq_capinadeira" localSheetId="4">#REF!</definedName>
    <definedName name="BD_sal_op_maq_capinadeira" localSheetId="5">#REF!</definedName>
    <definedName name="BD_sal_op_maq_capinadeira" localSheetId="9">#REF!</definedName>
    <definedName name="BD_sal_op_maq_capinadeira">#REF!</definedName>
    <definedName name="BD_sal_op_pá_carr" localSheetId="2">#REF!</definedName>
    <definedName name="BD_sal_op_pá_carr" localSheetId="3">#REF!</definedName>
    <definedName name="BD_sal_op_pá_carr" localSheetId="4">#REF!</definedName>
    <definedName name="BD_sal_op_pá_carr" localSheetId="5">#REF!</definedName>
    <definedName name="BD_sal_op_pá_carr" localSheetId="9">#REF!</definedName>
    <definedName name="BD_sal_op_pá_carr">#REF!</definedName>
    <definedName name="BD_sal_op_roçadeira" localSheetId="2">#REF!</definedName>
    <definedName name="BD_sal_op_roçadeira" localSheetId="3">#REF!</definedName>
    <definedName name="BD_sal_op_roçadeira" localSheetId="4">#REF!</definedName>
    <definedName name="BD_sal_op_roçadeira" localSheetId="5">#REF!</definedName>
    <definedName name="BD_sal_op_roçadeira" localSheetId="9">#REF!</definedName>
    <definedName name="BD_sal_op_roçadeira">#REF!</definedName>
    <definedName name="BD_sal_op_rolo_com" localSheetId="2">#REF!</definedName>
    <definedName name="BD_sal_op_rolo_com" localSheetId="3">#REF!</definedName>
    <definedName name="BD_sal_op_rolo_com" localSheetId="4">#REF!</definedName>
    <definedName name="BD_sal_op_rolo_com" localSheetId="5">#REF!</definedName>
    <definedName name="BD_sal_op_rolo_com" localSheetId="9">#REF!</definedName>
    <definedName name="BD_sal_op_rolo_com">#REF!</definedName>
    <definedName name="BD_sal_op_usi_tra_RSSS" localSheetId="2">#REF!</definedName>
    <definedName name="BD_sal_op_usi_tra_RSSS" localSheetId="3">#REF!</definedName>
    <definedName name="BD_sal_op_usi_tra_RSSS" localSheetId="4">#REF!</definedName>
    <definedName name="BD_sal_op_usi_tra_RSSS" localSheetId="5">#REF!</definedName>
    <definedName name="BD_sal_op_usi_tra_RSSS" localSheetId="9">#REF!</definedName>
    <definedName name="BD_sal_op_usi_tra_RSSS">#REF!</definedName>
    <definedName name="BD_sal_op_usina_rec_comp" localSheetId="2">#REF!</definedName>
    <definedName name="BD_sal_op_usina_rec_comp" localSheetId="3">#REF!</definedName>
    <definedName name="BD_sal_op_usina_rec_comp" localSheetId="4">#REF!</definedName>
    <definedName name="BD_sal_op_usina_rec_comp" localSheetId="5">#REF!</definedName>
    <definedName name="BD_sal_op_usina_rec_comp" localSheetId="9">#REF!</definedName>
    <definedName name="BD_sal_op_usina_rec_comp">#REF!</definedName>
    <definedName name="BD_sal_podador" localSheetId="2">#REF!</definedName>
    <definedName name="BD_sal_podador" localSheetId="3">#REF!</definedName>
    <definedName name="BD_sal_podador" localSheetId="4">#REF!</definedName>
    <definedName name="BD_sal_podador" localSheetId="5">#REF!</definedName>
    <definedName name="BD_sal_podador" localSheetId="9">#REF!</definedName>
    <definedName name="BD_sal_podador">#REF!</definedName>
    <definedName name="BD_sal_porteiro" localSheetId="2">#REF!</definedName>
    <definedName name="BD_sal_porteiro" localSheetId="3">#REF!</definedName>
    <definedName name="BD_sal_porteiro" localSheetId="4">#REF!</definedName>
    <definedName name="BD_sal_porteiro" localSheetId="5">#REF!</definedName>
    <definedName name="BD_sal_porteiro" localSheetId="9">#REF!</definedName>
    <definedName name="BD_sal_porteiro">#REF!</definedName>
    <definedName name="BD_sal_tratorista" localSheetId="2">#REF!</definedName>
    <definedName name="BD_sal_tratorista" localSheetId="3">#REF!</definedName>
    <definedName name="BD_sal_tratorista" localSheetId="4">#REF!</definedName>
    <definedName name="BD_sal_tratorista" localSheetId="5">#REF!</definedName>
    <definedName name="BD_sal_tratorista" localSheetId="9">#REF!</definedName>
    <definedName name="BD_sal_tratorista">#REF!</definedName>
    <definedName name="BD_sal_varredeira" localSheetId="2">#REF!</definedName>
    <definedName name="BD_sal_varredeira" localSheetId="3">#REF!</definedName>
    <definedName name="BD_sal_varredeira" localSheetId="4">#REF!</definedName>
    <definedName name="BD_sal_varredeira" localSheetId="5">#REF!</definedName>
    <definedName name="BD_sal_varredeira" localSheetId="9">#REF!</definedName>
    <definedName name="BD_sal_varredeira">#REF!</definedName>
    <definedName name="BD_sal_vigia" localSheetId="2">#REF!</definedName>
    <definedName name="BD_sal_vigia" localSheetId="3">#REF!</definedName>
    <definedName name="BD_sal_vigia" localSheetId="4">#REF!</definedName>
    <definedName name="BD_sal_vigia" localSheetId="5">#REF!</definedName>
    <definedName name="BD_sal_vigia" localSheetId="9">#REF!</definedName>
    <definedName name="BD_sal_vigia">#REF!</definedName>
    <definedName name="BDI" localSheetId="2">#REF!</definedName>
    <definedName name="BDI" localSheetId="3">#REF!</definedName>
    <definedName name="BDI" localSheetId="4">#REF!</definedName>
    <definedName name="BDI" localSheetId="5">#REF!</definedName>
    <definedName name="BDI" localSheetId="9">#REF!</definedName>
    <definedName name="BDI">#REF!</definedName>
    <definedName name="C_" localSheetId="2">#REF!</definedName>
    <definedName name="C_" localSheetId="3">#REF!</definedName>
    <definedName name="C_" localSheetId="4">#REF!</definedName>
    <definedName name="C_" localSheetId="5">#REF!</definedName>
    <definedName name="C_" localSheetId="9">#REF!</definedName>
    <definedName name="C_">#REF!</definedName>
    <definedName name="Carr" localSheetId="2">#REF!</definedName>
    <definedName name="Carr" localSheetId="3">#REF!</definedName>
    <definedName name="Carr" localSheetId="4">#REF!</definedName>
    <definedName name="Carr" localSheetId="5">#REF!</definedName>
    <definedName name="Carr" localSheetId="9">#REF!</definedName>
    <definedName name="Carr">#REF!</definedName>
    <definedName name="Cesta_Básica" localSheetId="2">#REF!</definedName>
    <definedName name="Cesta_Básica" localSheetId="3">#REF!</definedName>
    <definedName name="Cesta_Básica" localSheetId="4">#REF!</definedName>
    <definedName name="Cesta_Básica" localSheetId="5">#REF!</definedName>
    <definedName name="Cesta_Básica" localSheetId="9">#REF!</definedName>
    <definedName name="Cesta_Básica">#REF!</definedName>
    <definedName name="Coletor_diu_col_hosp" localSheetId="2">#REF!</definedName>
    <definedName name="Coletor_diu_col_hosp" localSheetId="3">#REF!</definedName>
    <definedName name="Coletor_diu_col_hosp" localSheetId="4">#REF!</definedName>
    <definedName name="Coletor_diu_col_hosp" localSheetId="5">#REF!</definedName>
    <definedName name="Coletor_diu_col_hosp" localSheetId="9">#REF!</definedName>
    <definedName name="Coletor_diu_col_hosp">#REF!</definedName>
    <definedName name="Coletor_diu_col_hosp_res" localSheetId="2">#REF!</definedName>
    <definedName name="Coletor_diu_col_hosp_res" localSheetId="3">#REF!</definedName>
    <definedName name="Coletor_diu_col_hosp_res" localSheetId="4">#REF!</definedName>
    <definedName name="Coletor_diu_col_hosp_res" localSheetId="5">#REF!</definedName>
    <definedName name="Coletor_diu_col_hosp_res" localSheetId="9">#REF!</definedName>
    <definedName name="Coletor_diu_col_hosp_res">#REF!</definedName>
    <definedName name="Coletor_diu_col_sel" localSheetId="2">#REF!</definedName>
    <definedName name="Coletor_diu_col_sel" localSheetId="3">#REF!</definedName>
    <definedName name="Coletor_diu_col_sel" localSheetId="4">#REF!</definedName>
    <definedName name="Coletor_diu_col_sel" localSheetId="5">#REF!</definedName>
    <definedName name="Coletor_diu_col_sel" localSheetId="9">#REF!</definedName>
    <definedName name="Coletor_diu_col_sel">#REF!</definedName>
    <definedName name="Coletor_diu_col_sel_res" localSheetId="2">#REF!</definedName>
    <definedName name="Coletor_diu_col_sel_res" localSheetId="3">#REF!</definedName>
    <definedName name="Coletor_diu_col_sel_res" localSheetId="4">#REF!</definedName>
    <definedName name="Coletor_diu_col_sel_res" localSheetId="5">#REF!</definedName>
    <definedName name="Coletor_diu_col_sel_res" localSheetId="9">#REF!</definedName>
    <definedName name="Coletor_diu_col_sel_res">#REF!</definedName>
    <definedName name="Coletor_not_col_hosp" localSheetId="2">#REF!</definedName>
    <definedName name="Coletor_not_col_hosp" localSheetId="3">#REF!</definedName>
    <definedName name="Coletor_not_col_hosp" localSheetId="4">#REF!</definedName>
    <definedName name="Coletor_not_col_hosp" localSheetId="5">#REF!</definedName>
    <definedName name="Coletor_not_col_hosp" localSheetId="9">#REF!</definedName>
    <definedName name="Coletor_not_col_hosp">#REF!</definedName>
    <definedName name="Coletor_not_col_hosp_res" localSheetId="2">#REF!</definedName>
    <definedName name="Coletor_not_col_hosp_res" localSheetId="3">#REF!</definedName>
    <definedName name="Coletor_not_col_hosp_res" localSheetId="4">#REF!</definedName>
    <definedName name="Coletor_not_col_hosp_res" localSheetId="5">#REF!</definedName>
    <definedName name="Coletor_not_col_hosp_res" localSheetId="9">#REF!</definedName>
    <definedName name="Coletor_not_col_hosp_res">#REF!</definedName>
    <definedName name="Coletor_not_col_sel" localSheetId="2">#REF!</definedName>
    <definedName name="Coletor_not_col_sel" localSheetId="3">#REF!</definedName>
    <definedName name="Coletor_not_col_sel" localSheetId="4">#REF!</definedName>
    <definedName name="Coletor_not_col_sel" localSheetId="5">#REF!</definedName>
    <definedName name="Coletor_not_col_sel" localSheetId="9">#REF!</definedName>
    <definedName name="Coletor_not_col_sel">#REF!</definedName>
    <definedName name="Coletor_not_col_sel_res" localSheetId="2">#REF!</definedName>
    <definedName name="Coletor_not_col_sel_res" localSheetId="3">#REF!</definedName>
    <definedName name="Coletor_not_col_sel_res" localSheetId="4">#REF!</definedName>
    <definedName name="Coletor_not_col_sel_res" localSheetId="5">#REF!</definedName>
    <definedName name="Coletor_not_col_sel_res" localSheetId="9">#REF!</definedName>
    <definedName name="Coletor_not_col_sel_res">#REF!</definedName>
    <definedName name="CompCapa" localSheetId="2">#REF!</definedName>
    <definedName name="CompCapa" localSheetId="3">#REF!</definedName>
    <definedName name="CompCapa" localSheetId="4">#REF!</definedName>
    <definedName name="CompCapa" localSheetId="5">#REF!</definedName>
    <definedName name="CompCapa" localSheetId="9">#REF!</definedName>
    <definedName name="CompCapa">#REF!</definedName>
    <definedName name="CompDetalhes" localSheetId="2">#REF!</definedName>
    <definedName name="CompDetalhes" localSheetId="3">#REF!</definedName>
    <definedName name="CompDetalhes" localSheetId="4">#REF!</definedName>
    <definedName name="CompDetalhes" localSheetId="5">#REF!</definedName>
    <definedName name="CompDetalhes" localSheetId="9">#REF!</definedName>
    <definedName name="CompDetalhes">#REF!</definedName>
    <definedName name="Convênio_médico" localSheetId="2">#REF!</definedName>
    <definedName name="Convênio_médico" localSheetId="3">#REF!</definedName>
    <definedName name="Convênio_médico" localSheetId="4">#REF!</definedName>
    <definedName name="Convênio_médico" localSheetId="5">#REF!</definedName>
    <definedName name="Convênio_médico" localSheetId="9">#REF!</definedName>
    <definedName name="Convênio_médico">#REF!</definedName>
    <definedName name="çp" localSheetId="2" hidden="1">#REF!</definedName>
    <definedName name="çp" localSheetId="3" hidden="1">#REF!</definedName>
    <definedName name="çp" localSheetId="4" hidden="1">#REF!</definedName>
    <definedName name="çp" localSheetId="5" hidden="1">#REF!</definedName>
    <definedName name="çp" localSheetId="9" hidden="1">#REF!</definedName>
    <definedName name="çp" hidden="1">#REF!</definedName>
    <definedName name="Critérios_IM" localSheetId="2">#REF!</definedName>
    <definedName name="Critérios_IM" localSheetId="3">#REF!</definedName>
    <definedName name="Critérios_IM" localSheetId="4">#REF!</definedName>
    <definedName name="Critérios_IM" localSheetId="5">#REF!</definedName>
    <definedName name="Critérios_IM" localSheetId="9">#REF!</definedName>
    <definedName name="Critérios_IM">#REF!</definedName>
    <definedName name="CUSTO_OPERACIONAL" localSheetId="2">#REF!</definedName>
    <definedName name="CUSTO_OPERACIONAL" localSheetId="3">#REF!</definedName>
    <definedName name="CUSTO_OPERACIONAL" localSheetId="4">#REF!</definedName>
    <definedName name="CUSTO_OPERACIONAL" localSheetId="5">#REF!</definedName>
    <definedName name="CUSTO_OPERACIONAL" localSheetId="9">#REF!</definedName>
    <definedName name="CUSTO_OPERACIONAL">#REF!</definedName>
    <definedName name="Custo_tot_coletor_col_sel" localSheetId="2">#REF!</definedName>
    <definedName name="Custo_tot_coletor_col_sel" localSheetId="3">#REF!</definedName>
    <definedName name="Custo_tot_coletor_col_sel" localSheetId="4">#REF!</definedName>
    <definedName name="Custo_tot_coletor_col_sel" localSheetId="5">#REF!</definedName>
    <definedName name="Custo_tot_coletor_col_sel" localSheetId="9">#REF!</definedName>
    <definedName name="Custo_tot_coletor_col_sel">#REF!</definedName>
    <definedName name="Custo_tot_mot_col_sel" localSheetId="2">#REF!</definedName>
    <definedName name="Custo_tot_mot_col_sel" localSheetId="3">#REF!</definedName>
    <definedName name="Custo_tot_mot_col_sel" localSheetId="4">#REF!</definedName>
    <definedName name="Custo_tot_mot_col_sel" localSheetId="5">#REF!</definedName>
    <definedName name="Custo_tot_mot_col_sel" localSheetId="9">#REF!</definedName>
    <definedName name="Custo_tot_mot_col_sel">#REF!</definedName>
    <definedName name="Custo_tot_mot_eq_padrão" localSheetId="2">#REF!</definedName>
    <definedName name="Custo_tot_mot_eq_padrão" localSheetId="3">#REF!</definedName>
    <definedName name="Custo_tot_mot_eq_padrão" localSheetId="4">#REF!</definedName>
    <definedName name="Custo_tot_mot_eq_padrão" localSheetId="5">#REF!</definedName>
    <definedName name="Custo_tot_mot_eq_padrão" localSheetId="9">#REF!</definedName>
    <definedName name="Custo_tot_mot_eq_padrão">#REF!</definedName>
    <definedName name="Custo_tot_uniforme_col_sel" localSheetId="2">#REF!</definedName>
    <definedName name="Custo_tot_uniforme_col_sel" localSheetId="3">#REF!</definedName>
    <definedName name="Custo_tot_uniforme_col_sel" localSheetId="4">#REF!</definedName>
    <definedName name="Custo_tot_uniforme_col_sel" localSheetId="5">#REF!</definedName>
    <definedName name="Custo_tot_uniforme_col_sel" localSheetId="9">#REF!</definedName>
    <definedName name="Custo_tot_uniforme_col_sel">#REF!</definedName>
    <definedName name="Custo_tot_uniforme_var_man" localSheetId="2">#REF!</definedName>
    <definedName name="Custo_tot_uniforme_var_man" localSheetId="3">#REF!</definedName>
    <definedName name="Custo_tot_uniforme_var_man" localSheetId="4">#REF!</definedName>
    <definedName name="Custo_tot_uniforme_var_man" localSheetId="5">#REF!</definedName>
    <definedName name="Custo_tot_uniforme_var_man" localSheetId="9">#REF!</definedName>
    <definedName name="Custo_tot_uniforme_var_man">#REF!</definedName>
    <definedName name="Custo_tot_varredeiras_var_man" localSheetId="2">#REF!</definedName>
    <definedName name="Custo_tot_varredeiras_var_man" localSheetId="3">#REF!</definedName>
    <definedName name="Custo_tot_varredeiras_var_man" localSheetId="4">#REF!</definedName>
    <definedName name="Custo_tot_varredeiras_var_man" localSheetId="5">#REF!</definedName>
    <definedName name="Custo_tot_varredeiras_var_man" localSheetId="9">#REF!</definedName>
    <definedName name="Custo_tot_varredeiras_var_man">#REF!</definedName>
    <definedName name="Custo_total_cam_comp" localSheetId="2">'[1]1 -DOM.'!#REF!</definedName>
    <definedName name="Custo_total_cam_comp" localSheetId="3">'[1]1 -DOM.'!#REF!</definedName>
    <definedName name="Custo_total_cam_comp" localSheetId="4">'[1]1 -DOM.'!#REF!</definedName>
    <definedName name="Custo_total_cam_comp" localSheetId="5">'[1]1 -DOM.'!#REF!</definedName>
    <definedName name="Custo_total_cam_comp" localSheetId="9">'[1]1 -DOM.'!#REF!</definedName>
    <definedName name="Custo_total_cam_comp">'[1]1 -DOM.'!#REF!</definedName>
    <definedName name="Custo_total_inst_coleta_dom" localSheetId="2">'[1]1 -DOM.'!#REF!</definedName>
    <definedName name="Custo_total_inst_coleta_dom" localSheetId="3">'[1]1 -DOM.'!#REF!</definedName>
    <definedName name="Custo_total_inst_coleta_dom" localSheetId="4">'[1]1 -DOM.'!#REF!</definedName>
    <definedName name="Custo_total_inst_coleta_dom" localSheetId="5">'[1]1 -DOM.'!#REF!</definedName>
    <definedName name="Custo_total_inst_coleta_dom" localSheetId="9">'[1]1 -DOM.'!#REF!</definedName>
    <definedName name="Custo_total_inst_coleta_dom">'[1]1 -DOM.'!#REF!</definedName>
    <definedName name="Custo_total_mo_ind_coleta" localSheetId="2">'[1]1 -DOM.'!#REF!</definedName>
    <definedName name="Custo_total_mo_ind_coleta" localSheetId="3">'[1]1 -DOM.'!#REF!</definedName>
    <definedName name="Custo_total_mo_ind_coleta" localSheetId="4">'[1]1 -DOM.'!#REF!</definedName>
    <definedName name="Custo_total_mo_ind_coleta" localSheetId="5">'[1]1 -DOM.'!#REF!</definedName>
    <definedName name="Custo_total_mo_ind_coleta" localSheetId="9">'[1]1 -DOM.'!#REF!</definedName>
    <definedName name="Custo_total_mo_ind_coleta">'[1]1 -DOM.'!#REF!</definedName>
    <definedName name="Custo_total_rádio_cam_com" localSheetId="2">'[1]1 -DOM.'!#REF!</definedName>
    <definedName name="Custo_total_rádio_cam_com" localSheetId="3">'[1]1 -DOM.'!#REF!</definedName>
    <definedName name="Custo_total_rádio_cam_com" localSheetId="4">'[1]1 -DOM.'!#REF!</definedName>
    <definedName name="Custo_total_rádio_cam_com" localSheetId="5">'[1]1 -DOM.'!#REF!</definedName>
    <definedName name="Custo_total_rádio_cam_com" localSheetId="9">'[1]1 -DOM.'!#REF!</definedName>
    <definedName name="Custo_total_rádio_cam_com">'[1]1 -DOM.'!#REF!</definedName>
    <definedName name="Custo_total_vei_fisc_coleta" localSheetId="2">'[1]1 -DOM.'!#REF!</definedName>
    <definedName name="Custo_total_vei_fisc_coleta" localSheetId="3">'[1]1 -DOM.'!#REF!</definedName>
    <definedName name="Custo_total_vei_fisc_coleta" localSheetId="4">'[1]1 -DOM.'!#REF!</definedName>
    <definedName name="Custo_total_vei_fisc_coleta" localSheetId="5">'[1]1 -DOM.'!#REF!</definedName>
    <definedName name="Custo_total_vei_fisc_coleta" localSheetId="9">'[1]1 -DOM.'!#REF!</definedName>
    <definedName name="Custo_total_vei_fisc_coleta">'[1]1 -DOM.'!#REF!</definedName>
    <definedName name="Custo_total_vei_fisc_coleta_dom" localSheetId="2">'[1]1 -DOM.'!#REF!</definedName>
    <definedName name="Custo_total_vei_fisc_coleta_dom" localSheetId="3">'[1]1 -DOM.'!#REF!</definedName>
    <definedName name="Custo_total_vei_fisc_coleta_dom" localSheetId="4">'[1]1 -DOM.'!#REF!</definedName>
    <definedName name="Custo_total_vei_fisc_coleta_dom" localSheetId="5">'[1]1 -DOM.'!#REF!</definedName>
    <definedName name="Custo_total_vei_fisc_coleta_dom" localSheetId="9">'[1]1 -DOM.'!#REF!</definedName>
    <definedName name="Custo_total_vei_fisc_coleta_dom">'[1]1 -DOM.'!#REF!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9">#REF!</definedName>
    <definedName name="D">#REF!</definedName>
    <definedName name="DADOS" localSheetId="2">#REF!</definedName>
    <definedName name="DADOS" localSheetId="3">#REF!</definedName>
    <definedName name="DADOS" localSheetId="4">#REF!</definedName>
    <definedName name="DADOS" localSheetId="5">#REF!</definedName>
    <definedName name="DADOS" localSheetId="9">#REF!</definedName>
    <definedName name="DADOS">#REF!</definedName>
    <definedName name="Des" localSheetId="2">#REF!</definedName>
    <definedName name="Des" localSheetId="3">#REF!</definedName>
    <definedName name="Des" localSheetId="4">#REF!</definedName>
    <definedName name="Des" localSheetId="5">#REF!</definedName>
    <definedName name="Des" localSheetId="9">#REF!</definedName>
    <definedName name="Des">#REF!</definedName>
    <definedName name="Desconto_vale_ref" localSheetId="2">#REF!</definedName>
    <definedName name="Desconto_vale_ref" localSheetId="3">#REF!</definedName>
    <definedName name="Desconto_vale_ref" localSheetId="4">#REF!</definedName>
    <definedName name="Desconto_vale_ref" localSheetId="5">#REF!</definedName>
    <definedName name="Desconto_vale_ref" localSheetId="9">#REF!</definedName>
    <definedName name="Desconto_vale_ref">#REF!</definedName>
    <definedName name="Desconto_vale_transp" localSheetId="2">#REF!</definedName>
    <definedName name="Desconto_vale_transp" localSheetId="3">#REF!</definedName>
    <definedName name="Desconto_vale_transp" localSheetId="4">#REF!</definedName>
    <definedName name="Desconto_vale_transp" localSheetId="5">#REF!</definedName>
    <definedName name="Desconto_vale_transp" localSheetId="9">#REF!</definedName>
    <definedName name="Desconto_vale_transp">#REF!</definedName>
    <definedName name="Dias_trabalhados" localSheetId="2">#REF!</definedName>
    <definedName name="Dias_trabalhados" localSheetId="3">#REF!</definedName>
    <definedName name="Dias_trabalhados" localSheetId="4">#REF!</definedName>
    <definedName name="Dias_trabalhados" localSheetId="5">#REF!</definedName>
    <definedName name="Dias_trabalhados" localSheetId="9">#REF!</definedName>
    <definedName name="Dias_trabalhados">#REF!</definedName>
    <definedName name="DMTCapas" localSheetId="2">#REF!</definedName>
    <definedName name="DMTCapas" localSheetId="3">#REF!</definedName>
    <definedName name="DMTCapas" localSheetId="4">#REF!</definedName>
    <definedName name="DMTCapas" localSheetId="5">#REF!</definedName>
    <definedName name="DMTCapas" localSheetId="9">#REF!</definedName>
    <definedName name="DMTCapas">#REF!</definedName>
    <definedName name="DMTDetalhes" localSheetId="2">#REF!</definedName>
    <definedName name="DMTDetalhes" localSheetId="3">#REF!</definedName>
    <definedName name="DMTDetalhes" localSheetId="4">#REF!</definedName>
    <definedName name="DMTDetalhes" localSheetId="5">#REF!</definedName>
    <definedName name="DMTDetalhes" localSheetId="9">#REF!</definedName>
    <definedName name="DMTDetalhes">#REF!</definedName>
    <definedName name="E" localSheetId="2">#REF!</definedName>
    <definedName name="E" localSheetId="3">#REF!</definedName>
    <definedName name="E" localSheetId="4">#REF!</definedName>
    <definedName name="E" localSheetId="5">#REF!</definedName>
    <definedName name="E" localSheetId="9">#REF!</definedName>
    <definedName name="E">#REF!</definedName>
    <definedName name="Encargos_sociais" localSheetId="2">#REF!</definedName>
    <definedName name="Encargos_sociais" localSheetId="3">#REF!</definedName>
    <definedName name="Encargos_sociais" localSheetId="4">#REF!</definedName>
    <definedName name="Encargos_sociais" localSheetId="5">#REF!</definedName>
    <definedName name="Encargos_sociais" localSheetId="9">#REF!</definedName>
    <definedName name="Encargos_sociais">#REF!</definedName>
    <definedName name="Encarregado_diu_op_aterro" localSheetId="2">#REF!</definedName>
    <definedName name="Encarregado_diu_op_aterro" localSheetId="3">#REF!</definedName>
    <definedName name="Encarregado_diu_op_aterro" localSheetId="4">#REF!</definedName>
    <definedName name="Encarregado_diu_op_aterro" localSheetId="5">#REF!</definedName>
    <definedName name="Encarregado_diu_op_aterro" localSheetId="9">#REF!</definedName>
    <definedName name="Encarregado_diu_op_aterro">#REF!</definedName>
    <definedName name="Encarregado_diu_op_aterro_res" localSheetId="2">#REF!</definedName>
    <definedName name="Encarregado_diu_op_aterro_res" localSheetId="3">#REF!</definedName>
    <definedName name="Encarregado_diu_op_aterro_res" localSheetId="4">#REF!</definedName>
    <definedName name="Encarregado_diu_op_aterro_res" localSheetId="5">#REF!</definedName>
    <definedName name="Encarregado_diu_op_aterro_res" localSheetId="9">#REF!</definedName>
    <definedName name="Encarregado_diu_op_aterro_res">#REF!</definedName>
    <definedName name="Encarregado_not_op_aterro" localSheetId="2">#REF!</definedName>
    <definedName name="Encarregado_not_op_aterro" localSheetId="3">#REF!</definedName>
    <definedName name="Encarregado_not_op_aterro" localSheetId="4">#REF!</definedName>
    <definedName name="Encarregado_not_op_aterro" localSheetId="5">#REF!</definedName>
    <definedName name="Encarregado_not_op_aterro" localSheetId="9">#REF!</definedName>
    <definedName name="Encarregado_not_op_aterro">#REF!</definedName>
    <definedName name="Encarregado_not_op_aterro_res" localSheetId="2">#REF!</definedName>
    <definedName name="Encarregado_not_op_aterro_res" localSheetId="3">#REF!</definedName>
    <definedName name="Encarregado_not_op_aterro_res" localSheetId="4">#REF!</definedName>
    <definedName name="Encarregado_not_op_aterro_res" localSheetId="5">#REF!</definedName>
    <definedName name="Encarregado_not_op_aterro_res" localSheetId="9">#REF!</definedName>
    <definedName name="Encarregado_not_op_aterro_res">#REF!</definedName>
    <definedName name="Exam_méd" localSheetId="2">#REF!</definedName>
    <definedName name="Exam_méd" localSheetId="3">#REF!</definedName>
    <definedName name="Exam_méd" localSheetId="4">#REF!</definedName>
    <definedName name="Exam_méd" localSheetId="5">#REF!</definedName>
    <definedName name="Exam_méd" localSheetId="9">#REF!</definedName>
    <definedName name="Exam_méd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9">#REF!</definedName>
    <definedName name="F">#REF!</definedName>
    <definedName name="F_varrição_diu_var_man" localSheetId="2">#REF!</definedName>
    <definedName name="F_varrição_diu_var_man" localSheetId="3">#REF!</definedName>
    <definedName name="F_varrição_diu_var_man" localSheetId="4">#REF!</definedName>
    <definedName name="F_varrição_diu_var_man" localSheetId="5">#REF!</definedName>
    <definedName name="F_varrição_diu_var_man" localSheetId="9">#REF!</definedName>
    <definedName name="F_varrição_diu_var_man">#REF!</definedName>
    <definedName name="F_varrição_diu_var_man_res" localSheetId="2">#REF!</definedName>
    <definedName name="F_varrição_diu_var_man_res" localSheetId="3">#REF!</definedName>
    <definedName name="F_varrição_diu_var_man_res" localSheetId="4">#REF!</definedName>
    <definedName name="F_varrição_diu_var_man_res" localSheetId="5">#REF!</definedName>
    <definedName name="F_varrição_diu_var_man_res" localSheetId="9">#REF!</definedName>
    <definedName name="F_varrição_diu_var_man_res">#REF!</definedName>
    <definedName name="F_varrição_not_var_man" localSheetId="2">#REF!</definedName>
    <definedName name="F_varrição_not_var_man" localSheetId="3">#REF!</definedName>
    <definedName name="F_varrição_not_var_man" localSheetId="4">#REF!</definedName>
    <definedName name="F_varrição_not_var_man" localSheetId="5">#REF!</definedName>
    <definedName name="F_varrição_not_var_man" localSheetId="9">#REF!</definedName>
    <definedName name="F_varrição_not_var_man">#REF!</definedName>
    <definedName name="F_varrição_not_var_man_res" localSheetId="2">#REF!</definedName>
    <definedName name="F_varrição_not_var_man_res" localSheetId="3">#REF!</definedName>
    <definedName name="F_varrição_not_var_man_res" localSheetId="4">#REF!</definedName>
    <definedName name="F_varrição_not_var_man_res" localSheetId="5">#REF!</definedName>
    <definedName name="F_varrição_not_var_man_res" localSheetId="9">#REF!</definedName>
    <definedName name="F_varrição_not_var_man_res">#REF!</definedName>
    <definedName name="FarmCapa" localSheetId="2">#REF!</definedName>
    <definedName name="FarmCapa" localSheetId="3">#REF!</definedName>
    <definedName name="FarmCapa" localSheetId="4">#REF!</definedName>
    <definedName name="FarmCapa" localSheetId="5">#REF!</definedName>
    <definedName name="FarmCapa" localSheetId="9">#REF!</definedName>
    <definedName name="FarmCapa">#REF!</definedName>
    <definedName name="FarmDetalhes" localSheetId="2">#REF!</definedName>
    <definedName name="FarmDetalhes" localSheetId="3">#REF!</definedName>
    <definedName name="FarmDetalhes" localSheetId="4">#REF!</definedName>
    <definedName name="FarmDetalhes" localSheetId="5">#REF!</definedName>
    <definedName name="FarmDetalhes" localSheetId="9">#REF!</definedName>
    <definedName name="FarmDetalhes">#REF!</definedName>
    <definedName name="G" localSheetId="2">#REF!</definedName>
    <definedName name="G" localSheetId="3">#REF!</definedName>
    <definedName name="G" localSheetId="4">#REF!</definedName>
    <definedName name="G" localSheetId="5">#REF!</definedName>
    <definedName name="G" localSheetId="9">#REF!</definedName>
    <definedName name="G">#REF!</definedName>
    <definedName name="H_extra_diurna_lav_vias_mês" localSheetId="2">#REF!</definedName>
    <definedName name="H_extra_diurna_lav_vias_mês" localSheetId="3">#REF!</definedName>
    <definedName name="H_extra_diurna_lav_vias_mês" localSheetId="4">#REF!</definedName>
    <definedName name="H_extra_diurna_lav_vias_mês" localSheetId="5">#REF!</definedName>
    <definedName name="H_extra_diurna_lav_vias_mês" localSheetId="9">#REF!</definedName>
    <definedName name="H_extra_diurna_lav_vias_mês">#REF!</definedName>
    <definedName name="H_extra_diurna_prevista_cap_mec_mês" localSheetId="2">#REF!</definedName>
    <definedName name="H_extra_diurna_prevista_cap_mec_mês" localSheetId="3">#REF!</definedName>
    <definedName name="H_extra_diurna_prevista_cap_mec_mês" localSheetId="4">#REF!</definedName>
    <definedName name="H_extra_diurna_prevista_cap_mec_mês" localSheetId="5">#REF!</definedName>
    <definedName name="H_extra_diurna_prevista_cap_mec_mês" localSheetId="9">#REF!</definedName>
    <definedName name="H_extra_diurna_prevista_cap_mec_mês">#REF!</definedName>
    <definedName name="H_extra_diurna_prevista_col_hosp_mês" localSheetId="2">#REF!</definedName>
    <definedName name="H_extra_diurna_prevista_col_hosp_mês" localSheetId="3">#REF!</definedName>
    <definedName name="H_extra_diurna_prevista_col_hosp_mês" localSheetId="4">#REF!</definedName>
    <definedName name="H_extra_diurna_prevista_col_hosp_mês" localSheetId="5">#REF!</definedName>
    <definedName name="H_extra_diurna_prevista_col_hosp_mês" localSheetId="9">#REF!</definedName>
    <definedName name="H_extra_diurna_prevista_col_hosp_mês">#REF!</definedName>
    <definedName name="H_extra_diurna_prevista_coleta_seletiva_mês" localSheetId="2">#REF!</definedName>
    <definedName name="H_extra_diurna_prevista_coleta_seletiva_mês" localSheetId="3">#REF!</definedName>
    <definedName name="H_extra_diurna_prevista_coleta_seletiva_mês" localSheetId="4">#REF!</definedName>
    <definedName name="H_extra_diurna_prevista_coleta_seletiva_mês" localSheetId="5">#REF!</definedName>
    <definedName name="H_extra_diurna_prevista_coleta_seletiva_mês" localSheetId="9">#REF!</definedName>
    <definedName name="H_extra_diurna_prevista_coleta_seletiva_mês">#REF!</definedName>
    <definedName name="H_extra_diurna_prevista_eq_padrão_mês" localSheetId="2">#REF!</definedName>
    <definedName name="H_extra_diurna_prevista_eq_padrão_mês" localSheetId="3">#REF!</definedName>
    <definedName name="H_extra_diurna_prevista_eq_padrão_mês" localSheetId="4">#REF!</definedName>
    <definedName name="H_extra_diurna_prevista_eq_padrão_mês" localSheetId="5">#REF!</definedName>
    <definedName name="H_extra_diurna_prevista_eq_padrão_mês" localSheetId="9">#REF!</definedName>
    <definedName name="H_extra_diurna_prevista_eq_padrão_mês">#REF!</definedName>
    <definedName name="H_extra_diurna_prevista_lav_vias_mês" localSheetId="2">#REF!</definedName>
    <definedName name="H_extra_diurna_prevista_lav_vias_mês" localSheetId="3">#REF!</definedName>
    <definedName name="H_extra_diurna_prevista_lav_vias_mês" localSheetId="4">#REF!</definedName>
    <definedName name="H_extra_diurna_prevista_lav_vias_mês" localSheetId="5">#REF!</definedName>
    <definedName name="H_extra_diurna_prevista_lav_vias_mês" localSheetId="9">#REF!</definedName>
    <definedName name="H_extra_diurna_prevista_lav_vias_mês">#REF!</definedName>
    <definedName name="H_extra_diurna_prevista_loc_cam_bas_mês" localSheetId="2">#REF!</definedName>
    <definedName name="H_extra_diurna_prevista_loc_cam_bas_mês" localSheetId="3">#REF!</definedName>
    <definedName name="H_extra_diurna_prevista_loc_cam_bas_mês" localSheetId="4">#REF!</definedName>
    <definedName name="H_extra_diurna_prevista_loc_cam_bas_mês" localSheetId="5">#REF!</definedName>
    <definedName name="H_extra_diurna_prevista_loc_cam_bas_mês" localSheetId="9">#REF!</definedName>
    <definedName name="H_extra_diurna_prevista_loc_cam_bas_mês">#REF!</definedName>
    <definedName name="H_extra_diurna_prevista_loc_pá_carr_mês" localSheetId="2">#REF!</definedName>
    <definedName name="H_extra_diurna_prevista_loc_pá_carr_mês" localSheetId="3">#REF!</definedName>
    <definedName name="H_extra_diurna_prevista_loc_pá_carr_mês" localSheetId="4">#REF!</definedName>
    <definedName name="H_extra_diurna_prevista_loc_pá_carr_mês" localSheetId="5">#REF!</definedName>
    <definedName name="H_extra_diurna_prevista_loc_pá_carr_mês" localSheetId="9">#REF!</definedName>
    <definedName name="H_extra_diurna_prevista_loc_pá_carr_mês">#REF!</definedName>
    <definedName name="H_extra_diurna_prevista_loc_trator_mês" localSheetId="2">#REF!</definedName>
    <definedName name="H_extra_diurna_prevista_loc_trator_mês" localSheetId="3">#REF!</definedName>
    <definedName name="H_extra_diurna_prevista_loc_trator_mês" localSheetId="4">#REF!</definedName>
    <definedName name="H_extra_diurna_prevista_loc_trator_mês" localSheetId="5">#REF!</definedName>
    <definedName name="H_extra_diurna_prevista_loc_trator_mês" localSheetId="9">#REF!</definedName>
    <definedName name="H_extra_diurna_prevista_loc_trator_mês">#REF!</definedName>
    <definedName name="H_extra_diurna_prevista_op_aterro_mês" localSheetId="2">#REF!</definedName>
    <definedName name="H_extra_diurna_prevista_op_aterro_mês" localSheetId="3">#REF!</definedName>
    <definedName name="H_extra_diurna_prevista_op_aterro_mês" localSheetId="4">#REF!</definedName>
    <definedName name="H_extra_diurna_prevista_op_aterro_mês" localSheetId="5">#REF!</definedName>
    <definedName name="H_extra_diurna_prevista_op_aterro_mês" localSheetId="9">#REF!</definedName>
    <definedName name="H_extra_diurna_prevista_op_aterro_mês">#REF!</definedName>
    <definedName name="H_extra_diurna_prevista_tra_RSSS_mês" localSheetId="2">#REF!</definedName>
    <definedName name="H_extra_diurna_prevista_tra_RSSS_mês" localSheetId="3">#REF!</definedName>
    <definedName name="H_extra_diurna_prevista_tra_RSSS_mês" localSheetId="4">#REF!</definedName>
    <definedName name="H_extra_diurna_prevista_tra_RSSS_mês" localSheetId="5">#REF!</definedName>
    <definedName name="H_extra_diurna_prevista_tra_RSSS_mês" localSheetId="9">#REF!</definedName>
    <definedName name="H_extra_diurna_prevista_tra_RSSS_mês">#REF!</definedName>
    <definedName name="H_extra_diurna_prevista_usi_rec_com_mês" localSheetId="2">#REF!</definedName>
    <definedName name="H_extra_diurna_prevista_usi_rec_com_mês" localSheetId="3">#REF!</definedName>
    <definedName name="H_extra_diurna_prevista_usi_rec_com_mês" localSheetId="4">#REF!</definedName>
    <definedName name="H_extra_diurna_prevista_usi_rec_com_mês" localSheetId="5">#REF!</definedName>
    <definedName name="H_extra_diurna_prevista_usi_rec_com_mês" localSheetId="9">#REF!</definedName>
    <definedName name="H_extra_diurna_prevista_usi_rec_com_mês">#REF!</definedName>
    <definedName name="H_extra_diurna_prevista_var_man_mês" localSheetId="2">#REF!</definedName>
    <definedName name="H_extra_diurna_prevista_var_man_mês" localSheetId="3">#REF!</definedName>
    <definedName name="H_extra_diurna_prevista_var_man_mês" localSheetId="4">#REF!</definedName>
    <definedName name="H_extra_diurna_prevista_var_man_mês" localSheetId="5">#REF!</definedName>
    <definedName name="H_extra_diurna_prevista_var_man_mês" localSheetId="9">#REF!</definedName>
    <definedName name="H_extra_diurna_prevista_var_man_mês">#REF!</definedName>
    <definedName name="H_extra_noturna_prevista_col_hosp_mês" localSheetId="2">#REF!</definedName>
    <definedName name="H_extra_noturna_prevista_col_hosp_mês" localSheetId="3">#REF!</definedName>
    <definedName name="H_extra_noturna_prevista_col_hosp_mês" localSheetId="4">#REF!</definedName>
    <definedName name="H_extra_noturna_prevista_col_hosp_mês" localSheetId="5">#REF!</definedName>
    <definedName name="H_extra_noturna_prevista_col_hosp_mês" localSheetId="9">#REF!</definedName>
    <definedName name="H_extra_noturna_prevista_col_hosp_mês">#REF!</definedName>
    <definedName name="H_extra_noturna_prevista_coleta_seletiva_mês" localSheetId="2">#REF!</definedName>
    <definedName name="H_extra_noturna_prevista_coleta_seletiva_mês" localSheetId="3">#REF!</definedName>
    <definedName name="H_extra_noturna_prevista_coleta_seletiva_mês" localSheetId="4">#REF!</definedName>
    <definedName name="H_extra_noturna_prevista_coleta_seletiva_mês" localSheetId="5">#REF!</definedName>
    <definedName name="H_extra_noturna_prevista_coleta_seletiva_mês" localSheetId="9">#REF!</definedName>
    <definedName name="H_extra_noturna_prevista_coleta_seletiva_mês">#REF!</definedName>
    <definedName name="H_extra_noturna_prevista_eq_padrão_mês" localSheetId="2">#REF!</definedName>
    <definedName name="H_extra_noturna_prevista_eq_padrão_mês" localSheetId="3">#REF!</definedName>
    <definedName name="H_extra_noturna_prevista_eq_padrão_mês" localSheetId="4">#REF!</definedName>
    <definedName name="H_extra_noturna_prevista_eq_padrão_mês" localSheetId="5">#REF!</definedName>
    <definedName name="H_extra_noturna_prevista_eq_padrão_mês" localSheetId="9">#REF!</definedName>
    <definedName name="H_extra_noturna_prevista_eq_padrão_mês">#REF!</definedName>
    <definedName name="H_extra_noturna_prevista_loc_cam_bas_mês" localSheetId="2">#REF!</definedName>
    <definedName name="H_extra_noturna_prevista_loc_cam_bas_mês" localSheetId="3">#REF!</definedName>
    <definedName name="H_extra_noturna_prevista_loc_cam_bas_mês" localSheetId="4">#REF!</definedName>
    <definedName name="H_extra_noturna_prevista_loc_cam_bas_mês" localSheetId="5">#REF!</definedName>
    <definedName name="H_extra_noturna_prevista_loc_cam_bas_mês" localSheetId="9">#REF!</definedName>
    <definedName name="H_extra_noturna_prevista_loc_cam_bas_mês">#REF!</definedName>
    <definedName name="H_extra_noturna_prevista_loc_pá_carr_mês" localSheetId="2">#REF!</definedName>
    <definedName name="H_extra_noturna_prevista_loc_pá_carr_mês" localSheetId="3">#REF!</definedName>
    <definedName name="H_extra_noturna_prevista_loc_pá_carr_mês" localSheetId="4">#REF!</definedName>
    <definedName name="H_extra_noturna_prevista_loc_pá_carr_mês" localSheetId="5">#REF!</definedName>
    <definedName name="H_extra_noturna_prevista_loc_pá_carr_mês" localSheetId="9">#REF!</definedName>
    <definedName name="H_extra_noturna_prevista_loc_pá_carr_mês">#REF!</definedName>
    <definedName name="H_extra_noturna_prevista_loc_trator_mês" localSheetId="2">#REF!</definedName>
    <definedName name="H_extra_noturna_prevista_loc_trator_mês" localSheetId="3">#REF!</definedName>
    <definedName name="H_extra_noturna_prevista_loc_trator_mês" localSheetId="4">#REF!</definedName>
    <definedName name="H_extra_noturna_prevista_loc_trator_mês" localSheetId="5">#REF!</definedName>
    <definedName name="H_extra_noturna_prevista_loc_trator_mês" localSheetId="9">#REF!</definedName>
    <definedName name="H_extra_noturna_prevista_loc_trator_mês">#REF!</definedName>
    <definedName name="H_extra_noturna_prevista_op_aterro_mês" localSheetId="2">#REF!</definedName>
    <definedName name="H_extra_noturna_prevista_op_aterro_mês" localSheetId="3">#REF!</definedName>
    <definedName name="H_extra_noturna_prevista_op_aterro_mês" localSheetId="4">#REF!</definedName>
    <definedName name="H_extra_noturna_prevista_op_aterro_mês" localSheetId="5">#REF!</definedName>
    <definedName name="H_extra_noturna_prevista_op_aterro_mês" localSheetId="9">#REF!</definedName>
    <definedName name="H_extra_noturna_prevista_op_aterro_mês">#REF!</definedName>
    <definedName name="H_extra_noturna_prevista_tra_RSSS_mês" localSheetId="2">#REF!</definedName>
    <definedName name="H_extra_noturna_prevista_tra_RSSS_mês" localSheetId="3">#REF!</definedName>
    <definedName name="H_extra_noturna_prevista_tra_RSSS_mês" localSheetId="4">#REF!</definedName>
    <definedName name="H_extra_noturna_prevista_tra_RSSS_mês" localSheetId="5">#REF!</definedName>
    <definedName name="H_extra_noturna_prevista_tra_RSSS_mês" localSheetId="9">#REF!</definedName>
    <definedName name="H_extra_noturna_prevista_tra_RSSS_mês">#REF!</definedName>
    <definedName name="H_extra_noturna_prevista_usi_rec_com_mês" localSheetId="2">#REF!</definedName>
    <definedName name="H_extra_noturna_prevista_usi_rec_com_mês" localSheetId="3">#REF!</definedName>
    <definedName name="H_extra_noturna_prevista_usi_rec_com_mês" localSheetId="4">#REF!</definedName>
    <definedName name="H_extra_noturna_prevista_usi_rec_com_mês" localSheetId="5">#REF!</definedName>
    <definedName name="H_extra_noturna_prevista_usi_rec_com_mês" localSheetId="9">#REF!</definedName>
    <definedName name="H_extra_noturna_prevista_usi_rec_com_mês">#REF!</definedName>
    <definedName name="H_extra_noturna_prevista_var_man_mês" localSheetId="2">#REF!</definedName>
    <definedName name="H_extra_noturna_prevista_var_man_mês" localSheetId="3">#REF!</definedName>
    <definedName name="H_extra_noturna_prevista_var_man_mês" localSheetId="4">#REF!</definedName>
    <definedName name="H_extra_noturna_prevista_var_man_mês" localSheetId="5">#REF!</definedName>
    <definedName name="H_extra_noturna_prevista_var_man_mês" localSheetId="9">#REF!</definedName>
    <definedName name="H_extra_noturna_prevista_var_man_mês">#REF!</definedName>
    <definedName name="HORAS_MENSAIS" localSheetId="2">#REF!</definedName>
    <definedName name="HORAS_MENSAIS" localSheetId="3">#REF!</definedName>
    <definedName name="HORAS_MENSAIS" localSheetId="4">#REF!</definedName>
    <definedName name="HORAS_MENSAIS" localSheetId="5">#REF!</definedName>
    <definedName name="HORAS_MENSAIS" localSheetId="9">#REF!</definedName>
    <definedName name="HORAS_MENSAIS">#REF!</definedName>
    <definedName name="Horas_noturnas_cap_mec" localSheetId="2">#REF!</definedName>
    <definedName name="Horas_noturnas_cap_mec" localSheetId="3">#REF!</definedName>
    <definedName name="Horas_noturnas_cap_mec" localSheetId="4">#REF!</definedName>
    <definedName name="Horas_noturnas_cap_mec" localSheetId="5">#REF!</definedName>
    <definedName name="Horas_noturnas_cap_mec" localSheetId="9">#REF!</definedName>
    <definedName name="Horas_noturnas_cap_mec">#REF!</definedName>
    <definedName name="Horas_noturnas_col_hos" localSheetId="2">#REF!</definedName>
    <definedName name="Horas_noturnas_col_hos" localSheetId="3">#REF!</definedName>
    <definedName name="Horas_noturnas_col_hos" localSheetId="4">#REF!</definedName>
    <definedName name="Horas_noturnas_col_hos" localSheetId="5">#REF!</definedName>
    <definedName name="Horas_noturnas_col_hos" localSheetId="9">#REF!</definedName>
    <definedName name="Horas_noturnas_col_hos">#REF!</definedName>
    <definedName name="Horas_noturnas_coleta_seletiva" localSheetId="2">#REF!</definedName>
    <definedName name="Horas_noturnas_coleta_seletiva" localSheetId="3">#REF!</definedName>
    <definedName name="Horas_noturnas_coleta_seletiva" localSheetId="4">#REF!</definedName>
    <definedName name="Horas_noturnas_coleta_seletiva" localSheetId="5">#REF!</definedName>
    <definedName name="Horas_noturnas_coleta_seletiva" localSheetId="9">#REF!</definedName>
    <definedName name="Horas_noturnas_coleta_seletiva">#REF!</definedName>
    <definedName name="Horas_noturnas_eq_padrão" localSheetId="2">#REF!</definedName>
    <definedName name="Horas_noturnas_eq_padrão" localSheetId="3">#REF!</definedName>
    <definedName name="Horas_noturnas_eq_padrão" localSheetId="4">#REF!</definedName>
    <definedName name="Horas_noturnas_eq_padrão" localSheetId="5">#REF!</definedName>
    <definedName name="Horas_noturnas_eq_padrão" localSheetId="9">#REF!</definedName>
    <definedName name="Horas_noturnas_eq_padrão">#REF!</definedName>
    <definedName name="Horas_noturnas_lav_vias" localSheetId="2">#REF!</definedName>
    <definedName name="Horas_noturnas_lav_vias" localSheetId="3">#REF!</definedName>
    <definedName name="Horas_noturnas_lav_vias" localSheetId="4">#REF!</definedName>
    <definedName name="Horas_noturnas_lav_vias" localSheetId="5">#REF!</definedName>
    <definedName name="Horas_noturnas_lav_vias" localSheetId="9">#REF!</definedName>
    <definedName name="Horas_noturnas_lav_vias">#REF!</definedName>
    <definedName name="Horas_noturnas_lim_mercado" localSheetId="2">#REF!</definedName>
    <definedName name="Horas_noturnas_lim_mercado" localSheetId="3">#REF!</definedName>
    <definedName name="Horas_noturnas_lim_mercado" localSheetId="4">#REF!</definedName>
    <definedName name="Horas_noturnas_lim_mercado" localSheetId="5">#REF!</definedName>
    <definedName name="Horas_noturnas_lim_mercado" localSheetId="9">#REF!</definedName>
    <definedName name="Horas_noturnas_lim_mercado">#REF!</definedName>
    <definedName name="Horas_noturnas_loc_cam_bas" localSheetId="2">#REF!</definedName>
    <definedName name="Horas_noturnas_loc_cam_bas" localSheetId="3">#REF!</definedName>
    <definedName name="Horas_noturnas_loc_cam_bas" localSheetId="4">#REF!</definedName>
    <definedName name="Horas_noturnas_loc_cam_bas" localSheetId="5">#REF!</definedName>
    <definedName name="Horas_noturnas_loc_cam_bas" localSheetId="9">#REF!</definedName>
    <definedName name="Horas_noturnas_loc_cam_bas">#REF!</definedName>
    <definedName name="Horas_noturnas_loc_pá" localSheetId="2">#REF!</definedName>
    <definedName name="Horas_noturnas_loc_pá" localSheetId="3">#REF!</definedName>
    <definedName name="Horas_noturnas_loc_pá" localSheetId="4">#REF!</definedName>
    <definedName name="Horas_noturnas_loc_pá" localSheetId="5">#REF!</definedName>
    <definedName name="Horas_noturnas_loc_pá" localSheetId="9">#REF!</definedName>
    <definedName name="Horas_noturnas_loc_pá">#REF!</definedName>
    <definedName name="Horas_noturnas_loc_trator" localSheetId="2">#REF!</definedName>
    <definedName name="Horas_noturnas_loc_trator" localSheetId="3">#REF!</definedName>
    <definedName name="Horas_noturnas_loc_trator" localSheetId="4">#REF!</definedName>
    <definedName name="Horas_noturnas_loc_trator" localSheetId="5">#REF!</definedName>
    <definedName name="Horas_noturnas_loc_trator" localSheetId="9">#REF!</definedName>
    <definedName name="Horas_noturnas_loc_trator">#REF!</definedName>
    <definedName name="Horas_noturnas_op_aterro" localSheetId="2">#REF!</definedName>
    <definedName name="Horas_noturnas_op_aterro" localSheetId="3">#REF!</definedName>
    <definedName name="Horas_noturnas_op_aterro" localSheetId="4">#REF!</definedName>
    <definedName name="Horas_noturnas_op_aterro" localSheetId="5">#REF!</definedName>
    <definedName name="Horas_noturnas_op_aterro" localSheetId="9">#REF!</definedName>
    <definedName name="Horas_noturnas_op_aterro">#REF!</definedName>
    <definedName name="Horas_noturnas_trat_RSSS" localSheetId="2">#REF!</definedName>
    <definedName name="Horas_noturnas_trat_RSSS" localSheetId="3">#REF!</definedName>
    <definedName name="Horas_noturnas_trat_RSSS" localSheetId="4">#REF!</definedName>
    <definedName name="Horas_noturnas_trat_RSSS" localSheetId="5">#REF!</definedName>
    <definedName name="Horas_noturnas_trat_RSSS" localSheetId="9">#REF!</definedName>
    <definedName name="Horas_noturnas_trat_RSSS">#REF!</definedName>
    <definedName name="Horas_noturnas_usi_compostagem" localSheetId="2">#REF!</definedName>
    <definedName name="Horas_noturnas_usi_compostagem" localSheetId="3">#REF!</definedName>
    <definedName name="Horas_noturnas_usi_compostagem" localSheetId="4">#REF!</definedName>
    <definedName name="Horas_noturnas_usi_compostagem" localSheetId="5">#REF!</definedName>
    <definedName name="Horas_noturnas_usi_compostagem" localSheetId="9">#REF!</definedName>
    <definedName name="Horas_noturnas_usi_compostagem">#REF!</definedName>
    <definedName name="Horas_noturnas_varrição" localSheetId="2">#REF!</definedName>
    <definedName name="Horas_noturnas_varrição" localSheetId="3">#REF!</definedName>
    <definedName name="Horas_noturnas_varrição" localSheetId="4">#REF!</definedName>
    <definedName name="Horas_noturnas_varrição" localSheetId="5">#REF!</definedName>
    <definedName name="Horas_noturnas_varrição" localSheetId="9">#REF!</definedName>
    <definedName name="Horas_noturnas_varrição">#REF!</definedName>
    <definedName name="HosCapa" localSheetId="2">#REF!</definedName>
    <definedName name="HosCapa" localSheetId="3">#REF!</definedName>
    <definedName name="HosCapa" localSheetId="4">#REF!</definedName>
    <definedName name="HosCapa" localSheetId="5">#REF!</definedName>
    <definedName name="HosCapa" localSheetId="9">#REF!</definedName>
    <definedName name="HosCapa">#REF!</definedName>
    <definedName name="HosDetalhes" localSheetId="2">#REF!</definedName>
    <definedName name="HosDetalhes" localSheetId="3">#REF!</definedName>
    <definedName name="HosDetalhes" localSheetId="4">#REF!</definedName>
    <definedName name="HosDetalhes" localSheetId="5">#REF!</definedName>
    <definedName name="HosDetalhes" localSheetId="9">#REF!</definedName>
    <definedName name="HosDetalhes">#REF!</definedName>
    <definedName name="IndCapa" localSheetId="2">#REF!</definedName>
    <definedName name="IndCapa" localSheetId="3">#REF!</definedName>
    <definedName name="IndCapa" localSheetId="4">#REF!</definedName>
    <definedName name="IndCapa" localSheetId="5">#REF!</definedName>
    <definedName name="IndCapa" localSheetId="9">#REF!</definedName>
    <definedName name="IndCapa">#REF!</definedName>
    <definedName name="IndDetalhes" localSheetId="2">#REF!</definedName>
    <definedName name="IndDetalhes" localSheetId="3">#REF!</definedName>
    <definedName name="IndDetalhes" localSheetId="4">#REF!</definedName>
    <definedName name="IndDetalhes" localSheetId="5">#REF!</definedName>
    <definedName name="IndDetalhes" localSheetId="9">#REF!</definedName>
    <definedName name="IndDetalhes">#REF!</definedName>
    <definedName name="Início_tur_not_col_sel" localSheetId="2">#REF!</definedName>
    <definedName name="Início_tur_not_col_sel" localSheetId="3">#REF!</definedName>
    <definedName name="Início_tur_not_col_sel" localSheetId="4">#REF!</definedName>
    <definedName name="Início_tur_not_col_sel" localSheetId="5">#REF!</definedName>
    <definedName name="Início_tur_not_col_sel" localSheetId="9">#REF!</definedName>
    <definedName name="Início_tur_not_col_sel">#REF!</definedName>
    <definedName name="Insalub_Grau_Máx" localSheetId="2">#REF!</definedName>
    <definedName name="Insalub_Grau_Máx" localSheetId="3">#REF!</definedName>
    <definedName name="Insalub_Grau_Máx" localSheetId="4">#REF!</definedName>
    <definedName name="Insalub_Grau_Máx" localSheetId="5">#REF!</definedName>
    <definedName name="Insalub_Grau_Máx" localSheetId="9">#REF!</definedName>
    <definedName name="Insalub_Grau_Máx">#REF!</definedName>
    <definedName name="Insalub_Grau_Méd" localSheetId="2">#REF!</definedName>
    <definedName name="Insalub_Grau_Méd" localSheetId="3">#REF!</definedName>
    <definedName name="Insalub_Grau_Méd" localSheetId="4">#REF!</definedName>
    <definedName name="Insalub_Grau_Méd" localSheetId="5">#REF!</definedName>
    <definedName name="Insalub_Grau_Méd" localSheetId="9">#REF!</definedName>
    <definedName name="Insalub_Grau_Méd">#REF!</definedName>
    <definedName name="Insalub_Grau_Mín" localSheetId="2">#REF!</definedName>
    <definedName name="Insalub_Grau_Mín" localSheetId="3">#REF!</definedName>
    <definedName name="Insalub_Grau_Mín" localSheetId="4">#REF!</definedName>
    <definedName name="Insalub_Grau_Mín" localSheetId="5">#REF!</definedName>
    <definedName name="Insalub_Grau_Mín" localSheetId="9">#REF!</definedName>
    <definedName name="Insalub_Grau_Mín">#REF!</definedName>
    <definedName name="Lav" localSheetId="2">#REF!</definedName>
    <definedName name="Lav" localSheetId="3">#REF!</definedName>
    <definedName name="Lav" localSheetId="4">#REF!</definedName>
    <definedName name="Lav" localSheetId="5">#REF!</definedName>
    <definedName name="Lav" localSheetId="9">#REF!</definedName>
    <definedName name="Lav">#REF!</definedName>
    <definedName name="Mec" localSheetId="2">#REF!</definedName>
    <definedName name="Mec" localSheetId="3">#REF!</definedName>
    <definedName name="Mec" localSheetId="4">#REF!</definedName>
    <definedName name="Mec" localSheetId="5">#REF!</definedName>
    <definedName name="Mec" localSheetId="9">#REF!</definedName>
    <definedName name="Mec">#REF!</definedName>
    <definedName name="MecP" localSheetId="2">#REF!</definedName>
    <definedName name="MecP" localSheetId="3">#REF!</definedName>
    <definedName name="MecP" localSheetId="4">#REF!</definedName>
    <definedName name="MecP" localSheetId="5">#REF!</definedName>
    <definedName name="MecP" localSheetId="9">#REF!</definedName>
    <definedName name="MecP">#REF!</definedName>
    <definedName name="MObr" localSheetId="2">#REF!</definedName>
    <definedName name="MObr" localSheetId="3">#REF!</definedName>
    <definedName name="MObr" localSheetId="4">#REF!</definedName>
    <definedName name="MObr" localSheetId="5">#REF!</definedName>
    <definedName name="MObr" localSheetId="9">#REF!</definedName>
    <definedName name="MObr">#REF!</definedName>
    <definedName name="Motorista_diu_cap_mec" localSheetId="2">#REF!</definedName>
    <definedName name="Motorista_diu_cap_mec" localSheetId="3">#REF!</definedName>
    <definedName name="Motorista_diu_cap_mec" localSheetId="4">#REF!</definedName>
    <definedName name="Motorista_diu_cap_mec" localSheetId="5">#REF!</definedName>
    <definedName name="Motorista_diu_cap_mec" localSheetId="9">#REF!</definedName>
    <definedName name="Motorista_diu_cap_mec">#REF!</definedName>
    <definedName name="Motorista_diu_cap_mec_res" localSheetId="2">#REF!</definedName>
    <definedName name="Motorista_diu_cap_mec_res" localSheetId="3">#REF!</definedName>
    <definedName name="Motorista_diu_cap_mec_res" localSheetId="4">#REF!</definedName>
    <definedName name="Motorista_diu_cap_mec_res" localSheetId="5">#REF!</definedName>
    <definedName name="Motorista_diu_cap_mec_res" localSheetId="9">#REF!</definedName>
    <definedName name="Motorista_diu_cap_mec_res">#REF!</definedName>
    <definedName name="Motorista_diu_col_hosp" localSheetId="2">#REF!</definedName>
    <definedName name="Motorista_diu_col_hosp" localSheetId="3">#REF!</definedName>
    <definedName name="Motorista_diu_col_hosp" localSheetId="4">#REF!</definedName>
    <definedName name="Motorista_diu_col_hosp" localSheetId="5">#REF!</definedName>
    <definedName name="Motorista_diu_col_hosp" localSheetId="9">#REF!</definedName>
    <definedName name="Motorista_diu_col_hosp">#REF!</definedName>
    <definedName name="Motorista_diu_col_hosp_res" localSheetId="2">#REF!</definedName>
    <definedName name="Motorista_diu_col_hosp_res" localSheetId="3">#REF!</definedName>
    <definedName name="Motorista_diu_col_hosp_res" localSheetId="4">#REF!</definedName>
    <definedName name="Motorista_diu_col_hosp_res" localSheetId="5">#REF!</definedName>
    <definedName name="Motorista_diu_col_hosp_res" localSheetId="9">#REF!</definedName>
    <definedName name="Motorista_diu_col_hosp_res">#REF!</definedName>
    <definedName name="Motorista_diu_col_sel" localSheetId="2">#REF!</definedName>
    <definedName name="Motorista_diu_col_sel" localSheetId="3">#REF!</definedName>
    <definedName name="Motorista_diu_col_sel" localSheetId="4">#REF!</definedName>
    <definedName name="Motorista_diu_col_sel" localSheetId="5">#REF!</definedName>
    <definedName name="Motorista_diu_col_sel" localSheetId="9">#REF!</definedName>
    <definedName name="Motorista_diu_col_sel">#REF!</definedName>
    <definedName name="Motorista_diu_eq_padrão" localSheetId="2">#REF!</definedName>
    <definedName name="Motorista_diu_eq_padrão" localSheetId="3">#REF!</definedName>
    <definedName name="Motorista_diu_eq_padrão" localSheetId="4">#REF!</definedName>
    <definedName name="Motorista_diu_eq_padrão" localSheetId="5">#REF!</definedName>
    <definedName name="Motorista_diu_eq_padrão" localSheetId="9">#REF!</definedName>
    <definedName name="Motorista_diu_eq_padrão">#REF!</definedName>
    <definedName name="Motorista_diu_eq_padrão_res" localSheetId="2">#REF!</definedName>
    <definedName name="Motorista_diu_eq_padrão_res" localSheetId="3">#REF!</definedName>
    <definedName name="Motorista_diu_eq_padrão_res" localSheetId="4">#REF!</definedName>
    <definedName name="Motorista_diu_eq_padrão_res" localSheetId="5">#REF!</definedName>
    <definedName name="Motorista_diu_eq_padrão_res" localSheetId="9">#REF!</definedName>
    <definedName name="Motorista_diu_eq_padrão_res">#REF!</definedName>
    <definedName name="Motorista_diu_lav_vias" localSheetId="2">#REF!</definedName>
    <definedName name="Motorista_diu_lav_vias" localSheetId="3">#REF!</definedName>
    <definedName name="Motorista_diu_lav_vias" localSheetId="4">#REF!</definedName>
    <definedName name="Motorista_diu_lav_vias" localSheetId="5">#REF!</definedName>
    <definedName name="Motorista_diu_lav_vias" localSheetId="9">#REF!</definedName>
    <definedName name="Motorista_diu_lav_vias">#REF!</definedName>
    <definedName name="Motorista_diu_lav_vias_res" localSheetId="2">#REF!</definedName>
    <definedName name="Motorista_diu_lav_vias_res" localSheetId="3">#REF!</definedName>
    <definedName name="Motorista_diu_lav_vias_res" localSheetId="4">#REF!</definedName>
    <definedName name="Motorista_diu_lav_vias_res" localSheetId="5">#REF!</definedName>
    <definedName name="Motorista_diu_lav_vias_res" localSheetId="9">#REF!</definedName>
    <definedName name="Motorista_diu_lav_vias_res">#REF!</definedName>
    <definedName name="Motorista_diu_loc_cam_bas" localSheetId="2">#REF!</definedName>
    <definedName name="Motorista_diu_loc_cam_bas" localSheetId="3">#REF!</definedName>
    <definedName name="Motorista_diu_loc_cam_bas" localSheetId="4">#REF!</definedName>
    <definedName name="Motorista_diu_loc_cam_bas" localSheetId="5">#REF!</definedName>
    <definedName name="Motorista_diu_loc_cam_bas" localSheetId="9">#REF!</definedName>
    <definedName name="Motorista_diu_loc_cam_bas">#REF!</definedName>
    <definedName name="Motorista_diu_loc_cam_bas_res" localSheetId="2">#REF!</definedName>
    <definedName name="Motorista_diu_loc_cam_bas_res" localSheetId="3">#REF!</definedName>
    <definedName name="Motorista_diu_loc_cam_bas_res" localSheetId="4">#REF!</definedName>
    <definedName name="Motorista_diu_loc_cam_bas_res" localSheetId="5">#REF!</definedName>
    <definedName name="Motorista_diu_loc_cam_bas_res" localSheetId="9">#REF!</definedName>
    <definedName name="Motorista_diu_loc_cam_bas_res">#REF!</definedName>
    <definedName name="Motorista_diu_op_aterro" localSheetId="2">#REF!</definedName>
    <definedName name="Motorista_diu_op_aterro" localSheetId="3">#REF!</definedName>
    <definedName name="Motorista_diu_op_aterro" localSheetId="4">#REF!</definedName>
    <definedName name="Motorista_diu_op_aterro" localSheetId="5">#REF!</definedName>
    <definedName name="Motorista_diu_op_aterro" localSheetId="9">#REF!</definedName>
    <definedName name="Motorista_diu_op_aterro">#REF!</definedName>
    <definedName name="Motorista_diu_op_aterro_res" localSheetId="2">#REF!</definedName>
    <definedName name="Motorista_diu_op_aterro_res" localSheetId="3">#REF!</definedName>
    <definedName name="Motorista_diu_op_aterro_res" localSheetId="4">#REF!</definedName>
    <definedName name="Motorista_diu_op_aterro_res" localSheetId="5">#REF!</definedName>
    <definedName name="Motorista_diu_op_aterro_res" localSheetId="9">#REF!</definedName>
    <definedName name="Motorista_diu_op_aterro_res">#REF!</definedName>
    <definedName name="Motorista_not_cap_mec" localSheetId="2">#REF!</definedName>
    <definedName name="Motorista_not_cap_mec" localSheetId="3">#REF!</definedName>
    <definedName name="Motorista_not_cap_mec" localSheetId="4">#REF!</definedName>
    <definedName name="Motorista_not_cap_mec" localSheetId="5">#REF!</definedName>
    <definedName name="Motorista_not_cap_mec" localSheetId="9">#REF!</definedName>
    <definedName name="Motorista_not_cap_mec">#REF!</definedName>
    <definedName name="Motorista_not_cap_mec_res" localSheetId="2">#REF!</definedName>
    <definedName name="Motorista_not_cap_mec_res" localSheetId="3">#REF!</definedName>
    <definedName name="Motorista_not_cap_mec_res" localSheetId="4">#REF!</definedName>
    <definedName name="Motorista_not_cap_mec_res" localSheetId="5">#REF!</definedName>
    <definedName name="Motorista_not_cap_mec_res" localSheetId="9">#REF!</definedName>
    <definedName name="Motorista_not_cap_mec_res">#REF!</definedName>
    <definedName name="Motorista_not_col_hosp" localSheetId="2">#REF!</definedName>
    <definedName name="Motorista_not_col_hosp" localSheetId="3">#REF!</definedName>
    <definedName name="Motorista_not_col_hosp" localSheetId="4">#REF!</definedName>
    <definedName name="Motorista_not_col_hosp" localSheetId="5">#REF!</definedName>
    <definedName name="Motorista_not_col_hosp" localSheetId="9">#REF!</definedName>
    <definedName name="Motorista_not_col_hosp">#REF!</definedName>
    <definedName name="Motorista_not_col_hosp_res" localSheetId="2">#REF!</definedName>
    <definedName name="Motorista_not_col_hosp_res" localSheetId="3">#REF!</definedName>
    <definedName name="Motorista_not_col_hosp_res" localSheetId="4">#REF!</definedName>
    <definedName name="Motorista_not_col_hosp_res" localSheetId="5">#REF!</definedName>
    <definedName name="Motorista_not_col_hosp_res" localSheetId="9">#REF!</definedName>
    <definedName name="Motorista_not_col_hosp_res">#REF!</definedName>
    <definedName name="Motorista_not_col_sel" localSheetId="2">#REF!</definedName>
    <definedName name="Motorista_not_col_sel" localSheetId="3">#REF!</definedName>
    <definedName name="Motorista_not_col_sel" localSheetId="4">#REF!</definedName>
    <definedName name="Motorista_not_col_sel" localSheetId="5">#REF!</definedName>
    <definedName name="Motorista_not_col_sel" localSheetId="9">#REF!</definedName>
    <definedName name="Motorista_not_col_sel">#REF!</definedName>
    <definedName name="Motorista_not_col_sel_res" localSheetId="2">#REF!</definedName>
    <definedName name="Motorista_not_col_sel_res" localSheetId="3">#REF!</definedName>
    <definedName name="Motorista_not_col_sel_res" localSheetId="4">#REF!</definedName>
    <definedName name="Motorista_not_col_sel_res" localSheetId="5">#REF!</definedName>
    <definedName name="Motorista_not_col_sel_res" localSheetId="9">#REF!</definedName>
    <definedName name="Motorista_not_col_sel_res">#REF!</definedName>
    <definedName name="Motorista_not_eq_padrão" localSheetId="2">#REF!</definedName>
    <definedName name="Motorista_not_eq_padrão" localSheetId="3">#REF!</definedName>
    <definedName name="Motorista_not_eq_padrão" localSheetId="4">#REF!</definedName>
    <definedName name="Motorista_not_eq_padrão" localSheetId="5">#REF!</definedName>
    <definedName name="Motorista_not_eq_padrão" localSheetId="9">#REF!</definedName>
    <definedName name="Motorista_not_eq_padrão">#REF!</definedName>
    <definedName name="Motorista_not_eq_padrão_res" localSheetId="2">#REF!</definedName>
    <definedName name="Motorista_not_eq_padrão_res" localSheetId="3">#REF!</definedName>
    <definedName name="Motorista_not_eq_padrão_res" localSheetId="4">#REF!</definedName>
    <definedName name="Motorista_not_eq_padrão_res" localSheetId="5">#REF!</definedName>
    <definedName name="Motorista_not_eq_padrão_res" localSheetId="9">#REF!</definedName>
    <definedName name="Motorista_not_eq_padrão_res">#REF!</definedName>
    <definedName name="Motorista_not_lav_vias" localSheetId="2">#REF!</definedName>
    <definedName name="Motorista_not_lav_vias" localSheetId="3">#REF!</definedName>
    <definedName name="Motorista_not_lav_vias" localSheetId="4">#REF!</definedName>
    <definedName name="Motorista_not_lav_vias" localSheetId="5">#REF!</definedName>
    <definedName name="Motorista_not_lav_vias" localSheetId="9">#REF!</definedName>
    <definedName name="Motorista_not_lav_vias">#REF!</definedName>
    <definedName name="Motorista_not_lav_vias_res" localSheetId="2">#REF!</definedName>
    <definedName name="Motorista_not_lav_vias_res" localSheetId="3">#REF!</definedName>
    <definedName name="Motorista_not_lav_vias_res" localSheetId="4">#REF!</definedName>
    <definedName name="Motorista_not_lav_vias_res" localSheetId="5">#REF!</definedName>
    <definedName name="Motorista_not_lav_vias_res" localSheetId="9">#REF!</definedName>
    <definedName name="Motorista_not_lav_vias_res">#REF!</definedName>
    <definedName name="Motorista_not_loc_cam_bas" localSheetId="2">#REF!</definedName>
    <definedName name="Motorista_not_loc_cam_bas" localSheetId="3">#REF!</definedName>
    <definedName name="Motorista_not_loc_cam_bas" localSheetId="4">#REF!</definedName>
    <definedName name="Motorista_not_loc_cam_bas" localSheetId="5">#REF!</definedName>
    <definedName name="Motorista_not_loc_cam_bas" localSheetId="9">#REF!</definedName>
    <definedName name="Motorista_not_loc_cam_bas">#REF!</definedName>
    <definedName name="Motorista_not_loc_cam_bas_res" localSheetId="2">#REF!</definedName>
    <definedName name="Motorista_not_loc_cam_bas_res" localSheetId="3">#REF!</definedName>
    <definedName name="Motorista_not_loc_cam_bas_res" localSheetId="4">#REF!</definedName>
    <definedName name="Motorista_not_loc_cam_bas_res" localSheetId="5">#REF!</definedName>
    <definedName name="Motorista_not_loc_cam_bas_res" localSheetId="9">#REF!</definedName>
    <definedName name="Motorista_not_loc_cam_bas_res">#REF!</definedName>
    <definedName name="Motorista_not_op_aterro" localSheetId="2">#REF!</definedName>
    <definedName name="Motorista_not_op_aterro" localSheetId="3">#REF!</definedName>
    <definedName name="Motorista_not_op_aterro" localSheetId="4">#REF!</definedName>
    <definedName name="Motorista_not_op_aterro" localSheetId="5">#REF!</definedName>
    <definedName name="Motorista_not_op_aterro" localSheetId="9">#REF!</definedName>
    <definedName name="Motorista_not_op_aterro">#REF!</definedName>
    <definedName name="Motorista_not_op_aterro_res" localSheetId="2">#REF!</definedName>
    <definedName name="Motorista_not_op_aterro_res" localSheetId="3">#REF!</definedName>
    <definedName name="Motorista_not_op_aterro_res" localSheetId="4">#REF!</definedName>
    <definedName name="Motorista_not_op_aterro_res" localSheetId="5">#REF!</definedName>
    <definedName name="Motorista_not_op_aterro_res" localSheetId="9">#REF!</definedName>
    <definedName name="Motorista_not_op_aterro_res">#REF!</definedName>
    <definedName name="Motorita_diu_col_sel_res" localSheetId="2">#REF!</definedName>
    <definedName name="Motorita_diu_col_sel_res" localSheetId="3">#REF!</definedName>
    <definedName name="Motorita_diu_col_sel_res" localSheetId="4">#REF!</definedName>
    <definedName name="Motorita_diu_col_sel_res" localSheetId="5">#REF!</definedName>
    <definedName name="Motorita_diu_col_sel_res" localSheetId="9">#REF!</definedName>
    <definedName name="Motorita_diu_col_sel_res">#REF!</definedName>
    <definedName name="Munk" localSheetId="2">#REF!</definedName>
    <definedName name="Munk" localSheetId="3">#REF!</definedName>
    <definedName name="Munk" localSheetId="4">#REF!</definedName>
    <definedName name="Munk" localSheetId="5">#REF!</definedName>
    <definedName name="Munk" localSheetId="9">#REF!</definedName>
    <definedName name="Munk">#REF!</definedName>
    <definedName name="n_de_feriados" localSheetId="2">#REF!</definedName>
    <definedName name="n_de_feriados" localSheetId="3">#REF!</definedName>
    <definedName name="n_de_feriados" localSheetId="4">#REF!</definedName>
    <definedName name="n_de_feriados" localSheetId="5">#REF!</definedName>
    <definedName name="n_de_feriados" localSheetId="9">#REF!</definedName>
    <definedName name="n_de_feriados">#REF!</definedName>
    <definedName name="n_de_meses_no_ano" localSheetId="2">#REF!</definedName>
    <definedName name="n_de_meses_no_ano" localSheetId="3">#REF!</definedName>
    <definedName name="n_de_meses_no_ano" localSheetId="4">#REF!</definedName>
    <definedName name="n_de_meses_no_ano" localSheetId="5">#REF!</definedName>
    <definedName name="n_de_meses_no_ano" localSheetId="9">#REF!</definedName>
    <definedName name="n_de_meses_no_ano">#REF!</definedName>
    <definedName name="N_de_passagens" localSheetId="2">#REF!</definedName>
    <definedName name="N_de_passagens" localSheetId="3">#REF!</definedName>
    <definedName name="N_de_passagens" localSheetId="4">#REF!</definedName>
    <definedName name="N_de_passagens" localSheetId="5">#REF!</definedName>
    <definedName name="N_de_passagens" localSheetId="9">#REF!</definedName>
    <definedName name="N_de_passagens">#REF!</definedName>
    <definedName name="n_horas_diárias" localSheetId="2">#REF!</definedName>
    <definedName name="n_horas_diárias" localSheetId="3">#REF!</definedName>
    <definedName name="n_horas_diárias" localSheetId="4">#REF!</definedName>
    <definedName name="n_horas_diárias" localSheetId="5">#REF!</definedName>
    <definedName name="n_horas_diárias" localSheetId="9">#REF!</definedName>
    <definedName name="n_horas_diárias">#REF!</definedName>
    <definedName name="Op_balança_diu_op_aterro" localSheetId="2">#REF!</definedName>
    <definedName name="Op_balança_diu_op_aterro" localSheetId="3">#REF!</definedName>
    <definedName name="Op_balança_diu_op_aterro" localSheetId="4">#REF!</definedName>
    <definedName name="Op_balança_diu_op_aterro" localSheetId="5">#REF!</definedName>
    <definedName name="Op_balança_diu_op_aterro" localSheetId="9">#REF!</definedName>
    <definedName name="Op_balança_diu_op_aterro">#REF!</definedName>
    <definedName name="Op_balança_diu_op_aterro_res" localSheetId="2">#REF!</definedName>
    <definedName name="Op_balança_diu_op_aterro_res" localSheetId="3">#REF!</definedName>
    <definedName name="Op_balança_diu_op_aterro_res" localSheetId="4">#REF!</definedName>
    <definedName name="Op_balança_diu_op_aterro_res" localSheetId="5">#REF!</definedName>
    <definedName name="Op_balança_diu_op_aterro_res" localSheetId="9">#REF!</definedName>
    <definedName name="Op_balança_diu_op_aterro_res">#REF!</definedName>
    <definedName name="Op_balança_not_op_aterro" localSheetId="2">#REF!</definedName>
    <definedName name="Op_balança_not_op_aterro" localSheetId="3">#REF!</definedName>
    <definedName name="Op_balança_not_op_aterro" localSheetId="4">#REF!</definedName>
    <definedName name="Op_balança_not_op_aterro" localSheetId="5">#REF!</definedName>
    <definedName name="Op_balança_not_op_aterro" localSheetId="9">#REF!</definedName>
    <definedName name="Op_balança_not_op_aterro">#REF!</definedName>
    <definedName name="Op_balança_not_op_aterro_res" localSheetId="2">#REF!</definedName>
    <definedName name="Op_balança_not_op_aterro_res" localSheetId="3">#REF!</definedName>
    <definedName name="Op_balança_not_op_aterro_res" localSheetId="4">#REF!</definedName>
    <definedName name="Op_balança_not_op_aterro_res" localSheetId="5">#REF!</definedName>
    <definedName name="Op_balança_not_op_aterro_res" localSheetId="9">#REF!</definedName>
    <definedName name="Op_balança_not_op_aterro_res">#REF!</definedName>
    <definedName name="Op_diu_usi_rec_comp" localSheetId="2">#REF!</definedName>
    <definedName name="Op_diu_usi_rec_comp" localSheetId="3">#REF!</definedName>
    <definedName name="Op_diu_usi_rec_comp" localSheetId="4">#REF!</definedName>
    <definedName name="Op_diu_usi_rec_comp" localSheetId="5">#REF!</definedName>
    <definedName name="Op_diu_usi_rec_comp" localSheetId="9">#REF!</definedName>
    <definedName name="Op_diu_usi_rec_comp">#REF!</definedName>
    <definedName name="Op_diu_usi_rec_comp_res" localSheetId="2">#REF!</definedName>
    <definedName name="Op_diu_usi_rec_comp_res" localSheetId="3">#REF!</definedName>
    <definedName name="Op_diu_usi_rec_comp_res" localSheetId="4">#REF!</definedName>
    <definedName name="Op_diu_usi_rec_comp_res" localSheetId="5">#REF!</definedName>
    <definedName name="Op_diu_usi_rec_comp_res" localSheetId="9">#REF!</definedName>
    <definedName name="Op_diu_usi_rec_comp_res">#REF!</definedName>
    <definedName name="Op_diu_usi_tra_RSSS" localSheetId="2">#REF!</definedName>
    <definedName name="Op_diu_usi_tra_RSSS" localSheetId="3">#REF!</definedName>
    <definedName name="Op_diu_usi_tra_RSSS" localSheetId="4">#REF!</definedName>
    <definedName name="Op_diu_usi_tra_RSSS" localSheetId="5">#REF!</definedName>
    <definedName name="Op_diu_usi_tra_RSSS" localSheetId="9">#REF!</definedName>
    <definedName name="Op_diu_usi_tra_RSSS">#REF!</definedName>
    <definedName name="Op_diu_usi_tra_RSSS_res" localSheetId="2">#REF!</definedName>
    <definedName name="Op_diu_usi_tra_RSSS_res" localSheetId="3">#REF!</definedName>
    <definedName name="Op_diu_usi_tra_RSSS_res" localSheetId="4">#REF!</definedName>
    <definedName name="Op_diu_usi_tra_RSSS_res" localSheetId="5">#REF!</definedName>
    <definedName name="Op_diu_usi_tra_RSSS_res" localSheetId="9">#REF!</definedName>
    <definedName name="Op_diu_usi_tra_RSSS_res">#REF!</definedName>
    <definedName name="Op_maq_diu_cap_mec" localSheetId="2">#REF!</definedName>
    <definedName name="Op_maq_diu_cap_mec" localSheetId="3">#REF!</definedName>
    <definedName name="Op_maq_diu_cap_mec" localSheetId="4">#REF!</definedName>
    <definedName name="Op_maq_diu_cap_mec" localSheetId="5">#REF!</definedName>
    <definedName name="Op_maq_diu_cap_mec" localSheetId="9">#REF!</definedName>
    <definedName name="Op_maq_diu_cap_mec">#REF!</definedName>
    <definedName name="Op_maq_diu_cap_mec_res" localSheetId="2">#REF!</definedName>
    <definedName name="Op_maq_diu_cap_mec_res" localSheetId="3">#REF!</definedName>
    <definedName name="Op_maq_diu_cap_mec_res" localSheetId="4">#REF!</definedName>
    <definedName name="Op_maq_diu_cap_mec_res" localSheetId="5">#REF!</definedName>
    <definedName name="Op_maq_diu_cap_mec_res" localSheetId="9">#REF!</definedName>
    <definedName name="Op_maq_diu_cap_mec_res">#REF!</definedName>
    <definedName name="Op_máq_diu_op_aterro" localSheetId="2">#REF!</definedName>
    <definedName name="Op_máq_diu_op_aterro" localSheetId="3">#REF!</definedName>
    <definedName name="Op_máq_diu_op_aterro" localSheetId="4">#REF!</definedName>
    <definedName name="Op_máq_diu_op_aterro" localSheetId="5">#REF!</definedName>
    <definedName name="Op_máq_diu_op_aterro" localSheetId="9">#REF!</definedName>
    <definedName name="Op_máq_diu_op_aterro">#REF!</definedName>
    <definedName name="Op_máq_diu_op_aterro_res" localSheetId="2">#REF!</definedName>
    <definedName name="Op_máq_diu_op_aterro_res" localSheetId="3">#REF!</definedName>
    <definedName name="Op_máq_diu_op_aterro_res" localSheetId="4">#REF!</definedName>
    <definedName name="Op_máq_diu_op_aterro_res" localSheetId="5">#REF!</definedName>
    <definedName name="Op_máq_diu_op_aterro_res" localSheetId="9">#REF!</definedName>
    <definedName name="Op_máq_diu_op_aterro_res">#REF!</definedName>
    <definedName name="Op_maq_not_cap_mec" localSheetId="2">#REF!</definedName>
    <definedName name="Op_maq_not_cap_mec" localSheetId="3">#REF!</definedName>
    <definedName name="Op_maq_not_cap_mec" localSheetId="4">#REF!</definedName>
    <definedName name="Op_maq_not_cap_mec" localSheetId="5">#REF!</definedName>
    <definedName name="Op_maq_not_cap_mec" localSheetId="9">#REF!</definedName>
    <definedName name="Op_maq_not_cap_mec">#REF!</definedName>
    <definedName name="Op_maq_not_cap_mec_res" localSheetId="2">#REF!</definedName>
    <definedName name="Op_maq_not_cap_mec_res" localSheetId="3">#REF!</definedName>
    <definedName name="Op_maq_not_cap_mec_res" localSheetId="4">#REF!</definedName>
    <definedName name="Op_maq_not_cap_mec_res" localSheetId="5">#REF!</definedName>
    <definedName name="Op_maq_not_cap_mec_res" localSheetId="9">#REF!</definedName>
    <definedName name="Op_maq_not_cap_mec_res">#REF!</definedName>
    <definedName name="Op_máq_not_op_aterro" localSheetId="2">#REF!</definedName>
    <definedName name="Op_máq_not_op_aterro" localSheetId="3">#REF!</definedName>
    <definedName name="Op_máq_not_op_aterro" localSheetId="4">#REF!</definedName>
    <definedName name="Op_máq_not_op_aterro" localSheetId="5">#REF!</definedName>
    <definedName name="Op_máq_not_op_aterro" localSheetId="9">#REF!</definedName>
    <definedName name="Op_máq_not_op_aterro">#REF!</definedName>
    <definedName name="Op_máq_not_op_aterro_res" localSheetId="2">#REF!</definedName>
    <definedName name="Op_máq_not_op_aterro_res" localSheetId="3">#REF!</definedName>
    <definedName name="Op_máq_not_op_aterro_res" localSheetId="4">#REF!</definedName>
    <definedName name="Op_máq_not_op_aterro_res" localSheetId="5">#REF!</definedName>
    <definedName name="Op_máq_not_op_aterro_res" localSheetId="9">#REF!</definedName>
    <definedName name="Op_máq_not_op_aterro_res">#REF!</definedName>
    <definedName name="Op_not_usi_rec_comp" localSheetId="2">#REF!</definedName>
    <definedName name="Op_not_usi_rec_comp" localSheetId="3">#REF!</definedName>
    <definedName name="Op_not_usi_rec_comp" localSheetId="4">#REF!</definedName>
    <definedName name="Op_not_usi_rec_comp" localSheetId="5">#REF!</definedName>
    <definedName name="Op_not_usi_rec_comp" localSheetId="9">#REF!</definedName>
    <definedName name="Op_not_usi_rec_comp">#REF!</definedName>
    <definedName name="Op_not_usi_rec_comp_res" localSheetId="2">#REF!</definedName>
    <definedName name="Op_not_usi_rec_comp_res" localSheetId="3">#REF!</definedName>
    <definedName name="Op_not_usi_rec_comp_res" localSheetId="4">#REF!</definedName>
    <definedName name="Op_not_usi_rec_comp_res" localSheetId="5">#REF!</definedName>
    <definedName name="Op_not_usi_rec_comp_res" localSheetId="9">#REF!</definedName>
    <definedName name="Op_not_usi_rec_comp_res">#REF!</definedName>
    <definedName name="Op_not_usi_tra_RSSS" localSheetId="2">#REF!</definedName>
    <definedName name="Op_not_usi_tra_RSSS" localSheetId="3">#REF!</definedName>
    <definedName name="Op_not_usi_tra_RSSS" localSheetId="4">#REF!</definedName>
    <definedName name="Op_not_usi_tra_RSSS" localSheetId="5">#REF!</definedName>
    <definedName name="Op_not_usi_tra_RSSS" localSheetId="9">#REF!</definedName>
    <definedName name="Op_not_usi_tra_RSSS">#REF!</definedName>
    <definedName name="Op_not_usi_tra_RSSS_res" localSheetId="2">#REF!</definedName>
    <definedName name="Op_not_usi_tra_RSSS_res" localSheetId="3">#REF!</definedName>
    <definedName name="Op_not_usi_tra_RSSS_res" localSheetId="4">#REF!</definedName>
    <definedName name="Op_not_usi_tra_RSSS_res" localSheetId="5">#REF!</definedName>
    <definedName name="Op_not_usi_tra_RSSS_res" localSheetId="9">#REF!</definedName>
    <definedName name="Op_not_usi_tra_RSSS_res">#REF!</definedName>
    <definedName name="Op_pá_diu_eq_padrão" localSheetId="2">#REF!</definedName>
    <definedName name="Op_pá_diu_eq_padrão" localSheetId="3">#REF!</definedName>
    <definedName name="Op_pá_diu_eq_padrão" localSheetId="4">#REF!</definedName>
    <definedName name="Op_pá_diu_eq_padrão" localSheetId="5">#REF!</definedName>
    <definedName name="Op_pá_diu_eq_padrão" localSheetId="9">#REF!</definedName>
    <definedName name="Op_pá_diu_eq_padrão">#REF!</definedName>
    <definedName name="Op_pá_diu_eq_padrão_res" localSheetId="2">#REF!</definedName>
    <definedName name="Op_pá_diu_eq_padrão_res" localSheetId="3">#REF!</definedName>
    <definedName name="Op_pá_diu_eq_padrão_res" localSheetId="4">#REF!</definedName>
    <definedName name="Op_pá_diu_eq_padrão_res" localSheetId="5">#REF!</definedName>
    <definedName name="Op_pá_diu_eq_padrão_res" localSheetId="9">#REF!</definedName>
    <definedName name="Op_pá_diu_eq_padrão_res">#REF!</definedName>
    <definedName name="Op_pá_diu_loc_pá" localSheetId="2">#REF!</definedName>
    <definedName name="Op_pá_diu_loc_pá" localSheetId="3">#REF!</definedName>
    <definedName name="Op_pá_diu_loc_pá" localSheetId="4">#REF!</definedName>
    <definedName name="Op_pá_diu_loc_pá" localSheetId="5">#REF!</definedName>
    <definedName name="Op_pá_diu_loc_pá" localSheetId="9">#REF!</definedName>
    <definedName name="Op_pá_diu_loc_pá">#REF!</definedName>
    <definedName name="Op_pá_diu_loc_pá_res" localSheetId="2">#REF!</definedName>
    <definedName name="Op_pá_diu_loc_pá_res" localSheetId="3">#REF!</definedName>
    <definedName name="Op_pá_diu_loc_pá_res" localSheetId="4">#REF!</definedName>
    <definedName name="Op_pá_diu_loc_pá_res" localSheetId="5">#REF!</definedName>
    <definedName name="Op_pá_diu_loc_pá_res" localSheetId="9">#REF!</definedName>
    <definedName name="Op_pá_diu_loc_pá_res">#REF!</definedName>
    <definedName name="Op_pá_not_eq_padrão" localSheetId="2">#REF!</definedName>
    <definedName name="Op_pá_not_eq_padrão" localSheetId="3">#REF!</definedName>
    <definedName name="Op_pá_not_eq_padrão" localSheetId="4">#REF!</definedName>
    <definedName name="Op_pá_not_eq_padrão" localSheetId="5">#REF!</definedName>
    <definedName name="Op_pá_not_eq_padrão" localSheetId="9">#REF!</definedName>
    <definedName name="Op_pá_not_eq_padrão">#REF!</definedName>
    <definedName name="Op_pá_not_eq_padrão_res" localSheetId="2">#REF!</definedName>
    <definedName name="Op_pá_not_eq_padrão_res" localSheetId="3">#REF!</definedName>
    <definedName name="Op_pá_not_eq_padrão_res" localSheetId="4">#REF!</definedName>
    <definedName name="Op_pá_not_eq_padrão_res" localSheetId="5">#REF!</definedName>
    <definedName name="Op_pá_not_eq_padrão_res" localSheetId="9">#REF!</definedName>
    <definedName name="Op_pá_not_eq_padrão_res">#REF!</definedName>
    <definedName name="Op_pá_not_loc_pá" localSheetId="2">#REF!</definedName>
    <definedName name="Op_pá_not_loc_pá" localSheetId="3">#REF!</definedName>
    <definedName name="Op_pá_not_loc_pá" localSheetId="4">#REF!</definedName>
    <definedName name="Op_pá_not_loc_pá" localSheetId="5">#REF!</definedName>
    <definedName name="Op_pá_not_loc_pá" localSheetId="9">#REF!</definedName>
    <definedName name="Op_pá_not_loc_pá">#REF!</definedName>
    <definedName name="Op_pá_not_loc_pá_res" localSheetId="2">#REF!</definedName>
    <definedName name="Op_pá_not_loc_pá_res" localSheetId="3">#REF!</definedName>
    <definedName name="Op_pá_not_loc_pá_res" localSheetId="4">#REF!</definedName>
    <definedName name="Op_pá_not_loc_pá_res" localSheetId="5">#REF!</definedName>
    <definedName name="Op_pá_not_loc_pá_res" localSheetId="9">#REF!</definedName>
    <definedName name="Op_pá_not_loc_pá_res">#REF!</definedName>
    <definedName name="Op_roç_diu_eq_padrão" localSheetId="2">#REF!</definedName>
    <definedName name="Op_roç_diu_eq_padrão" localSheetId="3">#REF!</definedName>
    <definedName name="Op_roç_diu_eq_padrão" localSheetId="4">#REF!</definedName>
    <definedName name="Op_roç_diu_eq_padrão" localSheetId="5">#REF!</definedName>
    <definedName name="Op_roç_diu_eq_padrão" localSheetId="9">#REF!</definedName>
    <definedName name="Op_roç_diu_eq_padrão">#REF!</definedName>
    <definedName name="Op_roç_diu_eq_padrão_res" localSheetId="2">#REF!</definedName>
    <definedName name="Op_roç_diu_eq_padrão_res" localSheetId="3">#REF!</definedName>
    <definedName name="Op_roç_diu_eq_padrão_res" localSheetId="4">#REF!</definedName>
    <definedName name="Op_roç_diu_eq_padrão_res" localSheetId="5">#REF!</definedName>
    <definedName name="Op_roç_diu_eq_padrão_res" localSheetId="9">#REF!</definedName>
    <definedName name="Op_roç_diu_eq_padrão_res">#REF!</definedName>
    <definedName name="Op_roç_not_eq_padrão" localSheetId="2">#REF!</definedName>
    <definedName name="Op_roç_not_eq_padrão" localSheetId="3">#REF!</definedName>
    <definedName name="Op_roç_not_eq_padrão" localSheetId="4">#REF!</definedName>
    <definedName name="Op_roç_not_eq_padrão" localSheetId="5">#REF!</definedName>
    <definedName name="Op_roç_not_eq_padrão" localSheetId="9">#REF!</definedName>
    <definedName name="Op_roç_not_eq_padrão">#REF!</definedName>
    <definedName name="Op_roç_not_eq_padrão_res" localSheetId="2">#REF!</definedName>
    <definedName name="Op_roç_not_eq_padrão_res" localSheetId="3">#REF!</definedName>
    <definedName name="Op_roç_not_eq_padrão_res" localSheetId="4">#REF!</definedName>
    <definedName name="Op_roç_not_eq_padrão_res" localSheetId="5">#REF!</definedName>
    <definedName name="Op_roç_not_eq_padrão_res" localSheetId="9">#REF!</definedName>
    <definedName name="Op_roç_not_eq_padrão_res">#REF!</definedName>
    <definedName name="Orç" localSheetId="2">#REF!</definedName>
    <definedName name="Orç" localSheetId="3">#REF!</definedName>
    <definedName name="Orç" localSheetId="4">#REF!</definedName>
    <definedName name="Orç" localSheetId="5">#REF!</definedName>
    <definedName name="Orç" localSheetId="9">#REF!</definedName>
    <definedName name="Orç">#REF!</definedName>
    <definedName name="Orç1" localSheetId="2">#REF!</definedName>
    <definedName name="Orç1" localSheetId="3">#REF!</definedName>
    <definedName name="Orç1" localSheetId="4">#REF!</definedName>
    <definedName name="Orç1" localSheetId="5">#REF!</definedName>
    <definedName name="Orç1" localSheetId="9">#REF!</definedName>
    <definedName name="Orç1">#REF!</definedName>
    <definedName name="ORCAMENTO" localSheetId="2">#REF!</definedName>
    <definedName name="ORCAMENTO" localSheetId="3">#REF!</definedName>
    <definedName name="ORCAMENTO" localSheetId="4">#REF!</definedName>
    <definedName name="ORCAMENTO" localSheetId="5">#REF!</definedName>
    <definedName name="ORCAMENTO" localSheetId="9">#REF!</definedName>
    <definedName name="ORCAMENTO">#REF!</definedName>
    <definedName name="PaCar" localSheetId="2">#REF!</definedName>
    <definedName name="PaCar" localSheetId="3">#REF!</definedName>
    <definedName name="PaCar" localSheetId="4">#REF!</definedName>
    <definedName name="PaCar" localSheetId="5">#REF!</definedName>
    <definedName name="PaCar" localSheetId="9">#REF!</definedName>
    <definedName name="PaCar">#REF!</definedName>
    <definedName name="Pin" localSheetId="2">#REF!</definedName>
    <definedName name="Pin" localSheetId="3">#REF!</definedName>
    <definedName name="Pin" localSheetId="4">#REF!</definedName>
    <definedName name="Pin" localSheetId="5">#REF!</definedName>
    <definedName name="Pin" localSheetId="9">#REF!</definedName>
    <definedName name="Pin">#REF!</definedName>
    <definedName name="pl" localSheetId="2">#REF!</definedName>
    <definedName name="pl" localSheetId="3">#REF!</definedName>
    <definedName name="pl" localSheetId="4">#REF!</definedName>
    <definedName name="pl" localSheetId="5">#REF!</definedName>
    <definedName name="pl" localSheetId="9">#REF!</definedName>
    <definedName name="pl">#REF!</definedName>
    <definedName name="Planilha" localSheetId="2">#REF!</definedName>
    <definedName name="Planilha" localSheetId="3">#REF!</definedName>
    <definedName name="Planilha" localSheetId="4">#REF!</definedName>
    <definedName name="Planilha" localSheetId="5">#REF!</definedName>
    <definedName name="Planilha" localSheetId="9">#REF!</definedName>
    <definedName name="Planilha">#REF!</definedName>
    <definedName name="PodaCapa" localSheetId="2">#REF!</definedName>
    <definedName name="PodaCapa" localSheetId="3">#REF!</definedName>
    <definedName name="PodaCapa" localSheetId="4">#REF!</definedName>
    <definedName name="PodaCapa" localSheetId="5">#REF!</definedName>
    <definedName name="PodaCapa" localSheetId="9">#REF!</definedName>
    <definedName name="PodaCapa">#REF!</definedName>
    <definedName name="PodaDetalhes" localSheetId="2">#REF!</definedName>
    <definedName name="PodaDetalhes" localSheetId="3">#REF!</definedName>
    <definedName name="PodaDetalhes" localSheetId="4">#REF!</definedName>
    <definedName name="PodaDetalhes" localSheetId="5">#REF!</definedName>
    <definedName name="PodaDetalhes" localSheetId="9">#REF!</definedName>
    <definedName name="PodaDetalhes">#REF!</definedName>
    <definedName name="ReciclCapa" localSheetId="2">#REF!</definedName>
    <definedName name="ReciclCapa" localSheetId="3">#REF!</definedName>
    <definedName name="ReciclCapa" localSheetId="4">#REF!</definedName>
    <definedName name="ReciclCapa" localSheetId="5">#REF!</definedName>
    <definedName name="ReciclCapa" localSheetId="9">#REF!</definedName>
    <definedName name="ReciclCapa">#REF!</definedName>
    <definedName name="ReciclDetalhes" localSheetId="2">#REF!</definedName>
    <definedName name="ReciclDetalhes" localSheetId="3">#REF!</definedName>
    <definedName name="ReciclDetalhes" localSheetId="4">#REF!</definedName>
    <definedName name="ReciclDetalhes" localSheetId="5">#REF!</definedName>
    <definedName name="ReciclDetalhes" localSheetId="9">#REF!</definedName>
    <definedName name="ReciclDetalhes">#REF!</definedName>
    <definedName name="RESULTADOS" localSheetId="2">#REF!</definedName>
    <definedName name="RESULTADOS" localSheetId="3">#REF!</definedName>
    <definedName name="RESULTADOS" localSheetId="4">#REF!</definedName>
    <definedName name="RESULTADOS" localSheetId="5">#REF!</definedName>
    <definedName name="RESULTADOS" localSheetId="9">#REF!</definedName>
    <definedName name="RESULTADOS">#REF!</definedName>
    <definedName name="Retr" localSheetId="2">#REF!</definedName>
    <definedName name="Retr" localSheetId="3">#REF!</definedName>
    <definedName name="Retr" localSheetId="4">#REF!</definedName>
    <definedName name="Retr" localSheetId="5">#REF!</definedName>
    <definedName name="Retr" localSheetId="9">#REF!</definedName>
    <definedName name="Retr">#REF!</definedName>
    <definedName name="Roc" localSheetId="2">#REF!</definedName>
    <definedName name="Roc" localSheetId="3">#REF!</definedName>
    <definedName name="Roc" localSheetId="4">#REF!</definedName>
    <definedName name="Roc" localSheetId="5">#REF!</definedName>
    <definedName name="Roc" localSheetId="9">#REF!</definedName>
    <definedName name="Roc">#REF!</definedName>
    <definedName name="Roçada" localSheetId="2" hidden="1">#REF!</definedName>
    <definedName name="Roçada" localSheetId="3" hidden="1">#REF!</definedName>
    <definedName name="Roçada" localSheetId="4" hidden="1">#REF!</definedName>
    <definedName name="Roçada" localSheetId="5" hidden="1">#REF!</definedName>
    <definedName name="Roçada" localSheetId="9" hidden="1">#REF!</definedName>
    <definedName name="Roçada" hidden="1">#REF!</definedName>
    <definedName name="Salário_coletor_dom" localSheetId="2">#REF!</definedName>
    <definedName name="Salário_coletor_dom" localSheetId="3">#REF!</definedName>
    <definedName name="Salário_coletor_dom" localSheetId="4">#REF!</definedName>
    <definedName name="Salário_coletor_dom" localSheetId="5">#REF!</definedName>
    <definedName name="Salário_coletor_dom" localSheetId="9">#REF!</definedName>
    <definedName name="Salário_coletor_dom">#REF!</definedName>
    <definedName name="Salário_Mín" localSheetId="2">#REF!</definedName>
    <definedName name="Salário_Mín" localSheetId="3">#REF!</definedName>
    <definedName name="Salário_Mín" localSheetId="4">#REF!</definedName>
    <definedName name="Salário_Mín" localSheetId="5">#REF!</definedName>
    <definedName name="Salário_Mín" localSheetId="9">#REF!</definedName>
    <definedName name="Salário_Mín">#REF!</definedName>
    <definedName name="Seguro_vida" localSheetId="2">#REF!</definedName>
    <definedName name="Seguro_vida" localSheetId="3">#REF!</definedName>
    <definedName name="Seguro_vida" localSheetId="4">#REF!</definedName>
    <definedName name="Seguro_vida" localSheetId="5">#REF!</definedName>
    <definedName name="Seguro_vida" localSheetId="9">#REF!</definedName>
    <definedName name="Seguro_vida">#REF!</definedName>
    <definedName name="SeptCapa" localSheetId="2">#REF!</definedName>
    <definedName name="SeptCapa" localSheetId="3">#REF!</definedName>
    <definedName name="SeptCapa" localSheetId="4">#REF!</definedName>
    <definedName name="SeptCapa" localSheetId="5">#REF!</definedName>
    <definedName name="SeptCapa" localSheetId="9">#REF!</definedName>
    <definedName name="SeptCapa">#REF!</definedName>
    <definedName name="SeptDetalhes" localSheetId="2">#REF!</definedName>
    <definedName name="SeptDetalhes" localSheetId="3">#REF!</definedName>
    <definedName name="SeptDetalhes" localSheetId="4">#REF!</definedName>
    <definedName name="SeptDetalhes" localSheetId="5">#REF!</definedName>
    <definedName name="SeptDetalhes" localSheetId="9">#REF!</definedName>
    <definedName name="SeptDetalhes">#REF!</definedName>
    <definedName name="_xlnm.Print_Titles" localSheetId="1">'1. Forn. de Mudas e Plantio'!$1:$4</definedName>
    <definedName name="_xlnm.Print_Titles" localSheetId="2">'2. Poda'!$1:$4</definedName>
    <definedName name="_xlnm.Print_Titles" localSheetId="3">'3. Zeladoria de Praças'!$1:$4</definedName>
    <definedName name="_xlnm.Print_Titles" localSheetId="4">'4. Irrigação'!$1:$4</definedName>
    <definedName name="_xlnm.Print_Titles" localSheetId="5">'5. ADM LOCAL'!$1:$4</definedName>
    <definedName name="Trat" localSheetId="2">#REF!</definedName>
    <definedName name="Trat" localSheetId="3">#REF!</definedName>
    <definedName name="Trat" localSheetId="4">#REF!</definedName>
    <definedName name="Trat" localSheetId="5">#REF!</definedName>
    <definedName name="Trat" localSheetId="9">#REF!</definedName>
    <definedName name="Trat">#REF!</definedName>
    <definedName name="TratCapa" localSheetId="2">#REF!</definedName>
    <definedName name="TratCapa" localSheetId="3">#REF!</definedName>
    <definedName name="TratCapa" localSheetId="4">#REF!</definedName>
    <definedName name="TratCapa" localSheetId="5">#REF!</definedName>
    <definedName name="TratCapa" localSheetId="9">#REF!</definedName>
    <definedName name="TratCapa">#REF!</definedName>
    <definedName name="TratDetalhes" localSheetId="2">#REF!</definedName>
    <definedName name="TratDetalhes" localSheetId="3">#REF!</definedName>
    <definedName name="TratDetalhes" localSheetId="4">#REF!</definedName>
    <definedName name="TratDetalhes" localSheetId="5">#REF!</definedName>
    <definedName name="TratDetalhes" localSheetId="9">#REF!</definedName>
    <definedName name="TratDetalhes">#REF!</definedName>
    <definedName name="Tratorista_diu_loc_trator" localSheetId="2">#REF!</definedName>
    <definedName name="Tratorista_diu_loc_trator" localSheetId="3">#REF!</definedName>
    <definedName name="Tratorista_diu_loc_trator" localSheetId="4">#REF!</definedName>
    <definedName name="Tratorista_diu_loc_trator" localSheetId="5">#REF!</definedName>
    <definedName name="Tratorista_diu_loc_trator" localSheetId="9">#REF!</definedName>
    <definedName name="Tratorista_diu_loc_trator">#REF!</definedName>
    <definedName name="Tratorista_diu_loc_trator_res" localSheetId="2">#REF!</definedName>
    <definedName name="Tratorista_diu_loc_trator_res" localSheetId="3">#REF!</definedName>
    <definedName name="Tratorista_diu_loc_trator_res" localSheetId="4">#REF!</definedName>
    <definedName name="Tratorista_diu_loc_trator_res" localSheetId="5">#REF!</definedName>
    <definedName name="Tratorista_diu_loc_trator_res" localSheetId="9">#REF!</definedName>
    <definedName name="Tratorista_diu_loc_trator_res">#REF!</definedName>
    <definedName name="Tratorista_not_loc_trator" localSheetId="2">#REF!</definedName>
    <definedName name="Tratorista_not_loc_trator" localSheetId="3">#REF!</definedName>
    <definedName name="Tratorista_not_loc_trator" localSheetId="4">#REF!</definedName>
    <definedName name="Tratorista_not_loc_trator" localSheetId="5">#REF!</definedName>
    <definedName name="Tratorista_not_loc_trator" localSheetId="9">#REF!</definedName>
    <definedName name="Tratorista_not_loc_trator">#REF!</definedName>
    <definedName name="Tratorista_not_loc_trator_res" localSheetId="2">#REF!</definedName>
    <definedName name="Tratorista_not_loc_trator_res" localSheetId="3">#REF!</definedName>
    <definedName name="Tratorista_not_loc_trator_res" localSheetId="4">#REF!</definedName>
    <definedName name="Tratorista_not_loc_trator_res" localSheetId="5">#REF!</definedName>
    <definedName name="Tratorista_not_loc_trator_res" localSheetId="9">#REF!</definedName>
    <definedName name="Tratorista_not_loc_trator_res">#REF!</definedName>
    <definedName name="Unif" localSheetId="2">#REF!</definedName>
    <definedName name="Unif" localSheetId="3">#REF!</definedName>
    <definedName name="Unif" localSheetId="4">#REF!</definedName>
    <definedName name="Unif" localSheetId="5">#REF!</definedName>
    <definedName name="Unif" localSheetId="9">#REF!</definedName>
    <definedName name="Unif">#REF!</definedName>
    <definedName name="Vale_Lanche" localSheetId="2">#REF!</definedName>
    <definedName name="Vale_Lanche" localSheetId="3">#REF!</definedName>
    <definedName name="Vale_Lanche" localSheetId="4">#REF!</definedName>
    <definedName name="Vale_Lanche" localSheetId="5">#REF!</definedName>
    <definedName name="Vale_Lanche" localSheetId="9">#REF!</definedName>
    <definedName name="Vale_Lanche">#REF!</definedName>
    <definedName name="Vale_Refeição" localSheetId="2">#REF!</definedName>
    <definedName name="Vale_Refeição" localSheetId="3">#REF!</definedName>
    <definedName name="Vale_Refeição" localSheetId="4">#REF!</definedName>
    <definedName name="Vale_Refeição" localSheetId="5">#REF!</definedName>
    <definedName name="Vale_Refeição" localSheetId="9">#REF!</definedName>
    <definedName name="Vale_Refeição">#REF!</definedName>
    <definedName name="Vale_Transporte" localSheetId="2">#REF!</definedName>
    <definedName name="Vale_Transporte" localSheetId="3">#REF!</definedName>
    <definedName name="Vale_Transporte" localSheetId="4">#REF!</definedName>
    <definedName name="Vale_Transporte" localSheetId="5">#REF!</definedName>
    <definedName name="Vale_Transporte" localSheetId="9">#REF!</definedName>
    <definedName name="Vale_Transporte">#REF!</definedName>
    <definedName name="Var" localSheetId="2">#REF!</definedName>
    <definedName name="Var" localSheetId="3">#REF!</definedName>
    <definedName name="Var" localSheetId="4">#REF!</definedName>
    <definedName name="Var" localSheetId="5">#REF!</definedName>
    <definedName name="Var" localSheetId="9">#REF!</definedName>
    <definedName name="Var">#REF!</definedName>
    <definedName name="Varredor_diu_lim_mercado" localSheetId="2">#REF!</definedName>
    <definedName name="Varredor_diu_lim_mercado" localSheetId="3">#REF!</definedName>
    <definedName name="Varredor_diu_lim_mercado" localSheetId="4">#REF!</definedName>
    <definedName name="Varredor_diu_lim_mercado" localSheetId="5">#REF!</definedName>
    <definedName name="Varredor_diu_lim_mercado" localSheetId="9">#REF!</definedName>
    <definedName name="Varredor_diu_lim_mercado">#REF!</definedName>
    <definedName name="Varredor_diu_lim_mercado_res" localSheetId="2">#REF!</definedName>
    <definedName name="Varredor_diu_lim_mercado_res" localSheetId="3">#REF!</definedName>
    <definedName name="Varredor_diu_lim_mercado_res" localSheetId="4">#REF!</definedName>
    <definedName name="Varredor_diu_lim_mercado_res" localSheetId="5">#REF!</definedName>
    <definedName name="Varredor_diu_lim_mercado_res" localSheetId="9">#REF!</definedName>
    <definedName name="Varredor_diu_lim_mercado_res">#REF!</definedName>
    <definedName name="Varredor_diu_var_man" localSheetId="2">#REF!</definedName>
    <definedName name="Varredor_diu_var_man" localSheetId="3">#REF!</definedName>
    <definedName name="Varredor_diu_var_man" localSheetId="4">#REF!</definedName>
    <definedName name="Varredor_diu_var_man" localSheetId="5">#REF!</definedName>
    <definedName name="Varredor_diu_var_man" localSheetId="9">#REF!</definedName>
    <definedName name="Varredor_diu_var_man">#REF!</definedName>
    <definedName name="Varredor_diu_var_man_res" localSheetId="2">#REF!</definedName>
    <definedName name="Varredor_diu_var_man_res" localSheetId="3">#REF!</definedName>
    <definedName name="Varredor_diu_var_man_res" localSheetId="4">#REF!</definedName>
    <definedName name="Varredor_diu_var_man_res" localSheetId="5">#REF!</definedName>
    <definedName name="Varredor_diu_var_man_res" localSheetId="9">#REF!</definedName>
    <definedName name="Varredor_diu_var_man_res">#REF!</definedName>
    <definedName name="Varredor_not_lim_mercado" localSheetId="2">#REF!</definedName>
    <definedName name="Varredor_not_lim_mercado" localSheetId="3">#REF!</definedName>
    <definedName name="Varredor_not_lim_mercado" localSheetId="4">#REF!</definedName>
    <definedName name="Varredor_not_lim_mercado" localSheetId="5">#REF!</definedName>
    <definedName name="Varredor_not_lim_mercado" localSheetId="9">#REF!</definedName>
    <definedName name="Varredor_not_lim_mercado">#REF!</definedName>
    <definedName name="Varredor_not_lim_mercado_res" localSheetId="2">#REF!</definedName>
    <definedName name="Varredor_not_lim_mercado_res" localSheetId="3">#REF!</definedName>
    <definedName name="Varredor_not_lim_mercado_res" localSheetId="4">#REF!</definedName>
    <definedName name="Varredor_not_lim_mercado_res" localSheetId="5">#REF!</definedName>
    <definedName name="Varredor_not_lim_mercado_res" localSheetId="9">#REF!</definedName>
    <definedName name="Varredor_not_lim_mercado_res">#REF!</definedName>
    <definedName name="Varredor_not_var_man" localSheetId="2">#REF!</definedName>
    <definedName name="Varredor_not_var_man" localSheetId="3">#REF!</definedName>
    <definedName name="Varredor_not_var_man" localSheetId="4">#REF!</definedName>
    <definedName name="Varredor_not_var_man" localSheetId="5">#REF!</definedName>
    <definedName name="Varredor_not_var_man" localSheetId="9">#REF!</definedName>
    <definedName name="Varredor_not_var_man">#REF!</definedName>
    <definedName name="Varredor_not_var_man_res" localSheetId="2">#REF!</definedName>
    <definedName name="Varredor_not_var_man_res" localSheetId="3">#REF!</definedName>
    <definedName name="Varredor_not_var_man_res" localSheetId="4">#REF!</definedName>
    <definedName name="Varredor_not_var_man_res" localSheetId="5">#REF!</definedName>
    <definedName name="Varredor_not_var_man_res" localSheetId="9">#REF!</definedName>
    <definedName name="Varredor_not_var_man_res">#REF!</definedName>
    <definedName name="VARRICAO" localSheetId="2">#REF!</definedName>
    <definedName name="VARRICAO" localSheetId="3">#REF!</definedName>
    <definedName name="VARRICAO" localSheetId="4">#REF!</definedName>
    <definedName name="VARRICAO" localSheetId="5">#REF!</definedName>
    <definedName name="VARRICAO" localSheetId="9">#REF!</definedName>
    <definedName name="VARRICAO">#REF!</definedName>
    <definedName name="VarS" localSheetId="2">#REF!</definedName>
    <definedName name="VarS" localSheetId="3">#REF!</definedName>
    <definedName name="VarS" localSheetId="4">#REF!</definedName>
    <definedName name="VarS" localSheetId="5">#REF!</definedName>
    <definedName name="VarS" localSheetId="9">#REF!</definedName>
    <definedName name="VarS">#REF!</definedName>
    <definedName name="Vigia_diu_op_aterro" localSheetId="2">#REF!</definedName>
    <definedName name="Vigia_diu_op_aterro" localSheetId="3">#REF!</definedName>
    <definedName name="Vigia_diu_op_aterro" localSheetId="4">#REF!</definedName>
    <definedName name="Vigia_diu_op_aterro" localSheetId="5">#REF!</definedName>
    <definedName name="Vigia_diu_op_aterro" localSheetId="9">#REF!</definedName>
    <definedName name="Vigia_diu_op_aterro">#REF!</definedName>
    <definedName name="Vigia_diu_op_aterro_res" localSheetId="2">#REF!</definedName>
    <definedName name="Vigia_diu_op_aterro_res" localSheetId="3">#REF!</definedName>
    <definedName name="Vigia_diu_op_aterro_res" localSheetId="4">#REF!</definedName>
    <definedName name="Vigia_diu_op_aterro_res" localSheetId="5">#REF!</definedName>
    <definedName name="Vigia_diu_op_aterro_res" localSheetId="9">#REF!</definedName>
    <definedName name="Vigia_diu_op_aterro_res">#REF!</definedName>
    <definedName name="Vigia_not_op_aterro" localSheetId="2">#REF!</definedName>
    <definedName name="Vigia_not_op_aterro" localSheetId="3">#REF!</definedName>
    <definedName name="Vigia_not_op_aterro" localSheetId="4">#REF!</definedName>
    <definedName name="Vigia_not_op_aterro" localSheetId="5">#REF!</definedName>
    <definedName name="Vigia_not_op_aterro" localSheetId="9">#REF!</definedName>
    <definedName name="Vigia_not_op_aterro">#REF!</definedName>
    <definedName name="Vigia_not_op_aterro_res" localSheetId="2">#REF!</definedName>
    <definedName name="Vigia_not_op_aterro_res" localSheetId="3">#REF!</definedName>
    <definedName name="Vigia_not_op_aterro_res" localSheetId="4">#REF!</definedName>
    <definedName name="Vigia_not_op_aterro_res" localSheetId="5">#REF!</definedName>
    <definedName name="Vigia_not_op_aterro_res" localSheetId="9">#REF!</definedName>
    <definedName name="Vigia_not_op_aterro_res">#REF!</definedName>
  </definedNames>
  <calcPr fullCalcOnLoad="1" fullPrecision="0"/>
</workbook>
</file>

<file path=xl/sharedStrings.xml><?xml version="1.0" encoding="utf-8"?>
<sst xmlns="http://schemas.openxmlformats.org/spreadsheetml/2006/main" count="1593" uniqueCount="476">
  <si>
    <t>QUANT.</t>
  </si>
  <si>
    <t>Total Geral</t>
  </si>
  <si>
    <t>Insalubridade</t>
  </si>
  <si>
    <t>SESI</t>
  </si>
  <si>
    <t>SENAI</t>
  </si>
  <si>
    <t>Vale transporte</t>
  </si>
  <si>
    <t>Salário Educação</t>
  </si>
  <si>
    <t>INCRA</t>
  </si>
  <si>
    <t>SEBRAE</t>
  </si>
  <si>
    <t>x</t>
  </si>
  <si>
    <t>=</t>
  </si>
  <si>
    <t>Salário mensal</t>
  </si>
  <si>
    <t>Descrição</t>
  </si>
  <si>
    <t>Uniforme</t>
  </si>
  <si>
    <t>ITEM</t>
  </si>
  <si>
    <t>13º Salário</t>
  </si>
  <si>
    <t>Enxada</t>
  </si>
  <si>
    <t>Calçado de segurança</t>
  </si>
  <si>
    <t>FGTS</t>
  </si>
  <si>
    <t>Sindicato patronal</t>
  </si>
  <si>
    <t>GRUPO A - Básico</t>
  </si>
  <si>
    <t>TOTAL GRUPO A</t>
  </si>
  <si>
    <t>GRUPO B - Encargos Sociais que recebem incidências do GRUPO A</t>
  </si>
  <si>
    <t>Taxa assistencial</t>
  </si>
  <si>
    <t>TOTAL GRUPO B</t>
  </si>
  <si>
    <t>GRUPO C - Encargos Sociais que não recebem incidências do GRUPO A</t>
  </si>
  <si>
    <t>TOTAL GRUPO C</t>
  </si>
  <si>
    <t>GRUPO D - Taxas de reincidências</t>
  </si>
  <si>
    <t>Grupo A x Grupo B</t>
  </si>
  <si>
    <t>TOTAL GRUPO D</t>
  </si>
  <si>
    <t>GRUPO E - Encargos Sociais que recebem incidências do GRUPO A</t>
  </si>
  <si>
    <t>Indenização Art. 9, Lei 7238/84</t>
  </si>
  <si>
    <t>TOTAL GRUPO E</t>
  </si>
  <si>
    <t>TOTAL GERAL DE ENCARGOS SOCIAIS</t>
  </si>
  <si>
    <t>DISCRIMINAÇÃO</t>
  </si>
  <si>
    <t>CUSTO DA MÃO DE OBRA</t>
  </si>
  <si>
    <t>Hora extra 50%</t>
  </si>
  <si>
    <t>Hora extra feriado</t>
  </si>
  <si>
    <t>Encargos sociais</t>
  </si>
  <si>
    <t>Vale refeição</t>
  </si>
  <si>
    <t>Salário mensal com encargos</t>
  </si>
  <si>
    <t>Custo mensal unitário</t>
  </si>
  <si>
    <t>Quant/ano</t>
  </si>
  <si>
    <t>Valor mensal</t>
  </si>
  <si>
    <t>Custo anual</t>
  </si>
  <si>
    <t>Preço unitário</t>
  </si>
  <si>
    <t>Preço total</t>
  </si>
  <si>
    <t>Custo mensal</t>
  </si>
  <si>
    <t>Quantidade</t>
  </si>
  <si>
    <t>Manutenção</t>
  </si>
  <si>
    <t>Mão de obra operacional</t>
  </si>
  <si>
    <t>QUANTIDADE PREVISTA NO MÊS</t>
  </si>
  <si>
    <t>PREÇO UNITÁRIO</t>
  </si>
  <si>
    <t>Cesta de Natal</t>
  </si>
  <si>
    <t>Seguro de vida</t>
  </si>
  <si>
    <t>Aviso prévio traballhado (redução 7 dias) (7/30/12x100)</t>
  </si>
  <si>
    <t>Licença paternidade (5/30/12x0,015x100)</t>
  </si>
  <si>
    <t>ENCARGOS SOCIAIS CONFORME ACORDÃO 6.771/09 DO TCU</t>
  </si>
  <si>
    <t>Protetor solar FPS 30</t>
  </si>
  <si>
    <t xml:space="preserve">x </t>
  </si>
  <si>
    <t>Cesta de natal</t>
  </si>
  <si>
    <t>CUSTO MENSAL COM MÃO DE OBRA DIRETA</t>
  </si>
  <si>
    <t>Tec. Seg. Trabalho Diurno</t>
  </si>
  <si>
    <t>CUSTO MENSAL COM MÃO DE OBRA INDIRETA</t>
  </si>
  <si>
    <t>Ferramentas</t>
  </si>
  <si>
    <t>BDI</t>
  </si>
  <si>
    <t>Porteiro</t>
  </si>
  <si>
    <t>Auxiliar Administrativo</t>
  </si>
  <si>
    <t>H.E Domingo/feriado</t>
  </si>
  <si>
    <t>TOTAL DO CUSTO COM VEÍCULO ADMINISTRATIVO</t>
  </si>
  <si>
    <t>Adicional H. Noturno</t>
  </si>
  <si>
    <t>Técnico Seg. Trabalho diurno (custo para 1 colaborador)</t>
  </si>
  <si>
    <t>Auxiliar Administrativo (custo para 1 colaborador)</t>
  </si>
  <si>
    <t>Vigia noturno - escala 12 x 36 (custo para 1 colaborador)</t>
  </si>
  <si>
    <t>Água</t>
  </si>
  <si>
    <t>Luz</t>
  </si>
  <si>
    <t>Internet</t>
  </si>
  <si>
    <t>TOTAL DESPESAS ADMININISTRATIVAS</t>
  </si>
  <si>
    <t>vida útil</t>
  </si>
  <si>
    <t>Capa de chuva de PVC</t>
  </si>
  <si>
    <t>(das 22:00 as 7:00)</t>
  </si>
  <si>
    <t>Custo Unitário</t>
  </si>
  <si>
    <t>Quantidade de veículos</t>
  </si>
  <si>
    <t>Vida útil</t>
  </si>
  <si>
    <t xml:space="preserve">Custo mensal </t>
  </si>
  <si>
    <t>Monitoramento via GPS</t>
  </si>
  <si>
    <t>Adesivagem</t>
  </si>
  <si>
    <t>CUSTO COM FERRAMENTAS</t>
  </si>
  <si>
    <t>QUANTIDADE</t>
  </si>
  <si>
    <t>Hora extra 100%</t>
  </si>
  <si>
    <t>DIMENSIONAMENTO DA MÃO DE OBRA DE APOIO E ADMINISTRATIVA</t>
  </si>
  <si>
    <t>Seguro acidente de trabalho (RAT 3,00 x FAP 0,00)</t>
  </si>
  <si>
    <t>Férias (1/12x100) + (1/3/12x100)</t>
  </si>
  <si>
    <t>Faltas Legais (1/30/12)x100</t>
  </si>
  <si>
    <t>Auxílio doença (15/30/12x0,0078)x100</t>
  </si>
  <si>
    <t>Cesta Básica</t>
  </si>
  <si>
    <t>Contribuição Adicional por aposentadoria especial (25 anos)</t>
  </si>
  <si>
    <t>Instalação (custo instalação dividido pela vida útil)</t>
  </si>
  <si>
    <t>MÃO DE OBRA</t>
  </si>
  <si>
    <t>Função</t>
  </si>
  <si>
    <t>Salário/mês</t>
  </si>
  <si>
    <t>Técnico Segurança do trabalho</t>
  </si>
  <si>
    <t>Salário Mínimo</t>
  </si>
  <si>
    <t>R$ unit.</t>
  </si>
  <si>
    <t>EQUIPAMENTOS</t>
  </si>
  <si>
    <t>Monitoramento GPS - manutenção</t>
  </si>
  <si>
    <t>Monitoramento GPS - Instalação</t>
  </si>
  <si>
    <t xml:space="preserve">CAMINHÕES </t>
  </si>
  <si>
    <t>pneu radial</t>
  </si>
  <si>
    <t>recapagem</t>
  </si>
  <si>
    <t>INSUMOS</t>
  </si>
  <si>
    <t>Cesta básica</t>
  </si>
  <si>
    <t>Vale refeição por dia</t>
  </si>
  <si>
    <t>Plotagem de caminhão - Adesivasão</t>
  </si>
  <si>
    <t>Plotagem de veiculos - Adesivasão</t>
  </si>
  <si>
    <t>Plotagem de moto - Adesivasão</t>
  </si>
  <si>
    <t>RELAÇÃO DE INSUMOS E MÃO DE OBRA</t>
  </si>
  <si>
    <t xml:space="preserve">TOTAL CUSTO COM MATERIAIS </t>
  </si>
  <si>
    <t xml:space="preserve">Locação </t>
  </si>
  <si>
    <t>Ajudantes</t>
  </si>
  <si>
    <t xml:space="preserve">DESCRIÇÃO </t>
  </si>
  <si>
    <t xml:space="preserve">QUANTIDADE </t>
  </si>
  <si>
    <t xml:space="preserve">Valor Mensal Caminhão Basculante </t>
  </si>
  <si>
    <t>Roçadeira Costal</t>
  </si>
  <si>
    <t>Ancinho</t>
  </si>
  <si>
    <t xml:space="preserve">DESCRIÇÃO DOS SERVIÇOS </t>
  </si>
  <si>
    <t xml:space="preserve">UNIDADE </t>
  </si>
  <si>
    <t xml:space="preserve">PREÇO UNITÁRIO </t>
  </si>
  <si>
    <t xml:space="preserve">Total Mensal dos Serviços </t>
  </si>
  <si>
    <t xml:space="preserve">Boné </t>
  </si>
  <si>
    <t xml:space="preserve">SERVIÇO: </t>
  </si>
  <si>
    <t xml:space="preserve">Camisa </t>
  </si>
  <si>
    <t xml:space="preserve">Calça </t>
  </si>
  <si>
    <t>Cesta de Natal (1/12)</t>
  </si>
  <si>
    <t>Cesta de natal (1/12)</t>
  </si>
  <si>
    <t xml:space="preserve">Valor Total </t>
  </si>
  <si>
    <t xml:space="preserve">Descrição </t>
  </si>
  <si>
    <t xml:space="preserve">Vida Util </t>
  </si>
  <si>
    <t xml:space="preserve">Valor Unitário </t>
  </si>
  <si>
    <t xml:space="preserve">VALOR MENSAL </t>
  </si>
  <si>
    <t xml:space="preserve">TOTAL mensal  MÃO DE OBRA </t>
  </si>
  <si>
    <t xml:space="preserve">TOTAL DOS CUSTOS OPERACIONAIS </t>
  </si>
  <si>
    <t>DESCRIÇÃO</t>
  </si>
  <si>
    <t xml:space="preserve">Uniforme e EPI's </t>
  </si>
  <si>
    <t xml:space="preserve">VALOR UNITÁRIO </t>
  </si>
  <si>
    <t>VALOR TOTAL</t>
  </si>
  <si>
    <t>CUSTO DO VEÍCULOS DE APOIO À ESTRUTURA ADMINISTRATIVA</t>
  </si>
  <si>
    <t xml:space="preserve">VALOR UNITARIO </t>
  </si>
  <si>
    <t xml:space="preserve">VALOR TOTAL </t>
  </si>
  <si>
    <t>CUSTO DIRETO COM DESPESAS ADMINISTRATIVAS</t>
  </si>
  <si>
    <t xml:space="preserve">Impressos  </t>
  </si>
  <si>
    <t>Materiais escritório</t>
  </si>
  <si>
    <t>Materiais de limpeza</t>
  </si>
  <si>
    <t>VERBA</t>
  </si>
  <si>
    <t xml:space="preserve">Equipamentos veículos </t>
  </si>
  <si>
    <t>Ajudante (custo p/ 1 colaborador)</t>
  </si>
  <si>
    <t xml:space="preserve">Ajudante </t>
  </si>
  <si>
    <t xml:space="preserve">Camisa Social </t>
  </si>
  <si>
    <t>Fornecimento de Café da Manhã para funcionários</t>
  </si>
  <si>
    <t xml:space="preserve">Auxiliar de Serviços Gerais </t>
  </si>
  <si>
    <t xml:space="preserve">CUSTO TOTAL MÃO DE OBRA </t>
  </si>
  <si>
    <t xml:space="preserve">Celular </t>
  </si>
  <si>
    <t xml:space="preserve">Seguro Garantia </t>
  </si>
  <si>
    <t>Aluguel escritório e IPTU</t>
  </si>
  <si>
    <t xml:space="preserve">Encarregado Geral </t>
  </si>
  <si>
    <t>SERVIÇO:</t>
  </si>
  <si>
    <t xml:space="preserve">Uniforme Administrativo  e EPI's </t>
  </si>
  <si>
    <t>equipe/mês</t>
  </si>
  <si>
    <t>VALOR TOTAL  MÊS(R$)</t>
  </si>
  <si>
    <t>Vale transporte (deduzido 6%)</t>
  </si>
  <si>
    <t>Assistência Médica (Ambulatórial)</t>
  </si>
  <si>
    <t>Ass. Médica (Ambulatorial)</t>
  </si>
  <si>
    <t>CUSTO COM VEÍCULO CAMINHÃO BASCULANTE 6M³</t>
  </si>
  <si>
    <t>CUSTO DIRETO MONITORAMENTO POR GPS VIA SATÉLITE - CAMINHÃO BASCULANTE 6M³</t>
  </si>
  <si>
    <t>DESCRIÇÃO DO CUSTO DIRETO COM CAMINHÃO BASCULANTE 6M³</t>
  </si>
  <si>
    <t>CUSTO DIRETO COM ADESIVOS -CAMINHÃO BASCULANTE 6M³</t>
  </si>
  <si>
    <t xml:space="preserve">DESCRIÇÃO DOS  CUSTOS OPERACIONAIS </t>
  </si>
  <si>
    <t>Gratificação de Férias (1/12)</t>
  </si>
  <si>
    <t xml:space="preserve">Exames Médicos </t>
  </si>
  <si>
    <t>Faltas  justificadas (5/30/12)x100</t>
  </si>
  <si>
    <t>Licença maternidade</t>
  </si>
  <si>
    <t>Multa FGTS (1x0,50x0,08x100)</t>
  </si>
  <si>
    <t>Multa FGTS (0,05x0,50x0,08x100) - colaboradores substituídos</t>
  </si>
  <si>
    <t>Indenização Art. 9, Lei 7238/84 (1/12x0,01)x100</t>
  </si>
  <si>
    <t>Feriados (12/365x100)</t>
  </si>
  <si>
    <t>ADMINISTRAÇÃO CENTRAL - (3,43% a 6,71%)</t>
  </si>
  <si>
    <t>SEGUROS E GARANTIAS - (0,28% a 0,75%)</t>
  </si>
  <si>
    <t>RISCOS - (1,00% a 1,74%)</t>
  </si>
  <si>
    <t>DESPESAS FINANCEIRAS - (0,94% a 1,17%)</t>
  </si>
  <si>
    <t>LUCRO / REMUNERAÇÃO (6,74% a 9,40%)</t>
  </si>
  <si>
    <t>COFINS =</t>
  </si>
  <si>
    <t>PIS =</t>
  </si>
  <si>
    <t>ISS =</t>
  </si>
  <si>
    <t xml:space="preserve">BDI = </t>
  </si>
  <si>
    <t xml:space="preserve">Vigia Noturno </t>
  </si>
  <si>
    <t>Auxiliar de Serviços Gerais</t>
  </si>
  <si>
    <t xml:space="preserve">Lavagem de veículo (custo produto + agua)- CAMINHÃO </t>
  </si>
  <si>
    <t xml:space="preserve">ADMINISTRAÇÃO LOCAL </t>
  </si>
  <si>
    <t>RELAÇÃO DE INSUMOS MATERIAIS</t>
  </si>
  <si>
    <t>FORRAÇÕES</t>
  </si>
  <si>
    <t>QUANT. MÊS</t>
  </si>
  <si>
    <t>QUANT. ANO</t>
  </si>
  <si>
    <t>TOTAL MÊS</t>
  </si>
  <si>
    <t>TOTAL ANO</t>
  </si>
  <si>
    <t>ARBUSTOS</t>
  </si>
  <si>
    <t xml:space="preserve">CLÚSIA </t>
  </si>
  <si>
    <t>BUCHINHO</t>
  </si>
  <si>
    <t>GRAMA</t>
  </si>
  <si>
    <t>GRAMA ESMERALDAS</t>
  </si>
  <si>
    <t>ADUBO SUPER SIMPLES</t>
  </si>
  <si>
    <t>UNIDADE</t>
  </si>
  <si>
    <t>M²</t>
  </si>
  <si>
    <t>KG</t>
  </si>
  <si>
    <t>PREFEITURA MUNICIPAL DE POUSO ALEGRE</t>
  </si>
  <si>
    <t>Encarregado Geral</t>
  </si>
  <si>
    <t>Uniforme e EPI's para encarregado e ajudantes - (custo para 1 colaborador)</t>
  </si>
  <si>
    <t>coletes sinalizadores refletivos</t>
  </si>
  <si>
    <t>luvas de malha</t>
  </si>
  <si>
    <t>Calça de brim</t>
  </si>
  <si>
    <t>camisas tecido: 67%poliester e 33%viscose</t>
  </si>
  <si>
    <t>Luvas de raspa</t>
  </si>
  <si>
    <t>Protetor solar FPS 30 tubo 120 ml</t>
  </si>
  <si>
    <t>Encarregado Geral (custo para 1 colaborador)</t>
  </si>
  <si>
    <t xml:space="preserve">Encarregado </t>
  </si>
  <si>
    <t>Operador de Motosserra</t>
  </si>
  <si>
    <t>Operador de motopoda</t>
  </si>
  <si>
    <t>Pedreiro</t>
  </si>
  <si>
    <t>Jardineiro</t>
  </si>
  <si>
    <t>Operador de Roçadeira</t>
  </si>
  <si>
    <t>Gerente Geral / Engenheiro Agrônomo</t>
  </si>
  <si>
    <t>caminhão basculante com modulo e banheiro para transporte de funcionários, inclusive motorista, combustível, manutenção, com no máximo 10 anos de fabricação.</t>
  </si>
  <si>
    <t xml:space="preserve">TOTAL DOS CUSTOS </t>
  </si>
  <si>
    <t>VALOR DO BDI</t>
  </si>
  <si>
    <t>TOTAL GERAL (CUSTO + BDI)</t>
  </si>
  <si>
    <t>enxada com cabo</t>
  </si>
  <si>
    <t>carrinho de mão de pneu com capacidade 80l</t>
  </si>
  <si>
    <t>picaretas de duas pontas de cabo</t>
  </si>
  <si>
    <t>pás de bico com cabo</t>
  </si>
  <si>
    <t>vassouras de piaçava com 20cm</t>
  </si>
  <si>
    <t>ancinhos curvo com cabo</t>
  </si>
  <si>
    <t>sachos</t>
  </si>
  <si>
    <t>Quant.</t>
  </si>
  <si>
    <t>CUSTO COM INSUMOS</t>
  </si>
  <si>
    <t>Adubo químico NPK 10.10.10</t>
  </si>
  <si>
    <t>Adubo NPK 8.28.16</t>
  </si>
  <si>
    <t>Adubo NPK 20.5.20 (cobertura)</t>
  </si>
  <si>
    <t>Adubo super simples</t>
  </si>
  <si>
    <t>NPK 4.14.8</t>
  </si>
  <si>
    <t>Terra Vegetal</t>
  </si>
  <si>
    <t xml:space="preserve">Calcário </t>
  </si>
  <si>
    <t>QuanTIDADE</t>
  </si>
  <si>
    <t>Insumos</t>
  </si>
  <si>
    <t>CCT -  FEDERACAO EMP. TURISMO E HOSPITALIDADE ESTADO MINAS GERAIS - 2021</t>
  </si>
  <si>
    <t>Cesta gratificação de férias</t>
  </si>
  <si>
    <t>Operador de Motoserra</t>
  </si>
  <si>
    <t>Operador de Motopoda</t>
  </si>
  <si>
    <t>Uniforme e EPI's para Ajudantes - (custo para 1 colaborador)</t>
  </si>
  <si>
    <t>Uniforme e EPI's para Operador de Motosserra e Moto poda - (custo para 1 colaborador)</t>
  </si>
  <si>
    <t>Camisas de segurança para operador de motosserra tipo sayro 152429</t>
  </si>
  <si>
    <t>Luvas de malha</t>
  </si>
  <si>
    <t>Coletes sinalizadores com refletivo X</t>
  </si>
  <si>
    <t>Perneiras couro escudeiro bl pozip sem velcro</t>
  </si>
  <si>
    <t>Operador de Motosserra e Operador de Moto poda (custo para 1 colaborador)</t>
  </si>
  <si>
    <t>Protetor auditivo tipo Abafador</t>
  </si>
  <si>
    <t>Calças de segurança para operador de motosserra tipo sayro - 300413</t>
  </si>
  <si>
    <t>Bota em couro sintético com elástico sem biqueira</t>
  </si>
  <si>
    <t>Capacetes com protetor facial</t>
  </si>
  <si>
    <t>Luvas motosserrista de cinco dedos "alta Tensão"</t>
  </si>
  <si>
    <t>Cinturão de segurança com talabarte duplo em Y</t>
  </si>
  <si>
    <t>CUSTO COM VEÍCULO CAMINHÃO CARROCERIA DE MADEIRA</t>
  </si>
  <si>
    <t>caminhão carroceria de madeira com modulo e banheiro para transporte de funcionários, inclusive motorista, combustível, manutenção, com no máximo 10 anos de fabricação.</t>
  </si>
  <si>
    <t>CUSTO DIRETO MONITORAMENTO POR GPS VIA SATÉLITE - CAMINHÃO CARROCERIA COM GUINDASTE E CESTO</t>
  </si>
  <si>
    <t>CUSTO DIRETO COM ADESIVOS - CAMINHÃO CARROCERIA COM GUINDASTE E CESTO</t>
  </si>
  <si>
    <t>DESCRIÇÃO DO CUSTO DIRETO CAMINHÃO CARROCERIA COM GUINDASTE E CESTO</t>
  </si>
  <si>
    <t>CUSTO DIRETO MONITORAMENTO POR GPS VIA SATÉLITE - CAMINHÃO CARROCERIA DE MADEIRA</t>
  </si>
  <si>
    <t>CUSTO DIRETO COM ADESIVOS - CAMINHÃO CARROCERIA DE MADEIRA</t>
  </si>
  <si>
    <t>DESCRIÇÃO DO CUSTO DIRETO COM CAMINHÃO CARROCERIA DE MADEIRA</t>
  </si>
  <si>
    <t>CUSTO COM VEÍCULO CARROCERIA DE MADEIRA EQUIPADO COM GUINDASTE E CESTO COM ALTURA DE 16 METROS</t>
  </si>
  <si>
    <t>Moto podador tipo HT 131 alcance 3,9m</t>
  </si>
  <si>
    <t>Motosserra MS - 250</t>
  </si>
  <si>
    <t>50 metros de corda poliamida com trava queda de 12mm</t>
  </si>
  <si>
    <t>Escada extensivel 4,50 x 7,80 metros em fibra de vidro</t>
  </si>
  <si>
    <t>Escada singela vazada 3,60 x 11 degraus</t>
  </si>
  <si>
    <t>Facão para mato com lâmina aço carbono 17"</t>
  </si>
  <si>
    <t>Foice roçadeira com cabo 295 x 95mm</t>
  </si>
  <si>
    <t>Machado soldado cabeça redonda com cabo de madeira de 90 cm</t>
  </si>
  <si>
    <t>Gancho olhal com trava para 10 toneladas</t>
  </si>
  <si>
    <t>Moitão elevação de carga 650 kg 45 mm 3 roldanas</t>
  </si>
  <si>
    <t>Serrote de poda de galhos com serra curva 58 cm aço tempreado</t>
  </si>
  <si>
    <t>Podador de galhos com serrote e cabo telescópico</t>
  </si>
  <si>
    <t>Cone de sinalizacao em pvc rigido com faixa refletiva, h = 70 / 76 cm</t>
  </si>
  <si>
    <t>Tesoura podadora manual para cerca viva com lamina de 12" e cabo de madeira</t>
  </si>
  <si>
    <t>Saco plastico 100 unid. 100 litros</t>
  </si>
  <si>
    <t xml:space="preserve">Caixa de ferramentas sanfonada </t>
  </si>
  <si>
    <t>Tenda em PVC dimensões 4 x 4</t>
  </si>
  <si>
    <t>Jogo de Mesa com 4 cadeiras</t>
  </si>
  <si>
    <t>botijão de gás 5kg.</t>
  </si>
  <si>
    <t xml:space="preserve">Fogareiro 2 bocas </t>
  </si>
  <si>
    <t>Óleo dois tempos (500 ml)</t>
  </si>
  <si>
    <t>Fita Zebrada rolo 48 mm x 14 m</t>
  </si>
  <si>
    <t>TOTAL CUSTO COM FERRAMENTAS</t>
  </si>
  <si>
    <t>CUSTO MENSAL COM LOCAÇÃO DE CAMINHÕES</t>
  </si>
  <si>
    <t>Caminhão carroceria de madeira equipado com guindaste polivalente com cesto h=16m</t>
  </si>
  <si>
    <t>Caminhão carroceria de madeira com modulo e banheiro para transporte de funcionários</t>
  </si>
  <si>
    <t xml:space="preserve">Operador de Moto poda </t>
  </si>
  <si>
    <t xml:space="preserve">COMPOSIÇÃO DO BDI </t>
  </si>
  <si>
    <t>BDI = {[(1+AC+S+R+G)x(1+L)x(1+DF)] / (1-T)} - 1</t>
  </si>
  <si>
    <t xml:space="preserve">TRIBUTOS </t>
  </si>
  <si>
    <t>Protetor facil viseira</t>
  </si>
  <si>
    <t>Protetor auricular tipo pino</t>
  </si>
  <si>
    <t>Avental de raspa</t>
  </si>
  <si>
    <t>Uniforme e EPI's para Operador de Roçadeira - (custo para 1 colaborador)</t>
  </si>
  <si>
    <t>Operador de Roçadeira  (custo para 1 colaborador)</t>
  </si>
  <si>
    <t>Uniforme e EPI's para Pedreiro Jardineiro e Ajudantes - (custo para 1 colaborador)</t>
  </si>
  <si>
    <t>Pedreiro  (custo para 1 colaborador)</t>
  </si>
  <si>
    <t>Jardineiro  (custo para 1 colaborador)</t>
  </si>
  <si>
    <t>Caminhão basculante com modulo e banheiro para transporte de funcionários, inclusive motorista, combustível, manutenção, com no máximo 10 anos de fabricação.</t>
  </si>
  <si>
    <t>CUSTO COM VAN PARA TRANSPORTE DE PESSOAL</t>
  </si>
  <si>
    <t>veículo tipo van com capacidade mínima de 10 passageiros para transporte de funcionários, com no máximo 10 anos de fabricação.</t>
  </si>
  <si>
    <t>TOTAL DO CUSTO COM VEÍCULO VAN</t>
  </si>
  <si>
    <t>TOTAL DO CUSTO COM CAMINHÃO BASCULANTE</t>
  </si>
  <si>
    <t>Valor Mensal Caminhão CARROCERIA</t>
  </si>
  <si>
    <t>Valor Mensal Caminhão GUINDASTE  COM CESTO</t>
  </si>
  <si>
    <t>TOTAL DO CUSTO COM CAMINHÃO CARROCERIA</t>
  </si>
  <si>
    <t>TOTAL DO CUSTO COM CAMINHÃO GUINDASTE COM CESTO</t>
  </si>
  <si>
    <t>CUSTO DIRETO MONITORAMENTO POR GPS VIA SATÉLITE -VEÍCULO VAN</t>
  </si>
  <si>
    <t>CUSTO DIRETO COM ADESIVOS - VEÍCULO VAN</t>
  </si>
  <si>
    <t>DESCRIÇÃO DO CUSTO DIRETO COM VEÍCULO VAN</t>
  </si>
  <si>
    <t>Valor Mensal VEÍCULO VAN</t>
  </si>
  <si>
    <t>Tesoura de poda</t>
  </si>
  <si>
    <t>Carrinho de Mão</t>
  </si>
  <si>
    <t>Brocha</t>
  </si>
  <si>
    <t>Saco de Lixo</t>
  </si>
  <si>
    <t>Fio de Nylon para Roçadeira (rolo)</t>
  </si>
  <si>
    <t>Tela de Proteção (metro)</t>
  </si>
  <si>
    <t>Faca (Roçadeira)</t>
  </si>
  <si>
    <t>Cone de sinalização PEAD 75 cm</t>
  </si>
  <si>
    <t>Pá de bico com cabo</t>
  </si>
  <si>
    <t>Cal com Fixador para cal( pct 8 kg)</t>
  </si>
  <si>
    <t>Óleo Sthill (500 ml)</t>
  </si>
  <si>
    <t>Adubo cobertura fosfato e potássio</t>
  </si>
  <si>
    <t>Adubo químico cobertura(ureia)</t>
  </si>
  <si>
    <t>Adubo químico cobertura sulfato de amônia</t>
  </si>
  <si>
    <t>Adubo foliar</t>
  </si>
  <si>
    <t>Formicida em pó</t>
  </si>
  <si>
    <t>Fungicida de contato</t>
  </si>
  <si>
    <t>Inseticida de contato</t>
  </si>
  <si>
    <t>Calcário</t>
  </si>
  <si>
    <t>kg</t>
  </si>
  <si>
    <t>EQUIPE PADRÃO PARA EXECUÇÃO DOS SERVIÇOS DE ZELADORIA DE PRAÇAS, PARQUES E JARDINS, PODA DE GRAMA EM CANTEIROS DE AVENIDAS.</t>
  </si>
  <si>
    <t>Periculosidade</t>
  </si>
  <si>
    <t>CUSTO COM VEÍCULO CAMINHÃO PIPA 10.000 LITROS</t>
  </si>
  <si>
    <t>TOTAL DO CUSTO COM CAMINHÃO PIPA</t>
  </si>
  <si>
    <t>CUSTO DIRETO MONITORAMENTO POR GPS VIA SATÉLITE - CAMINHÃO PIPA 10.000 LITROS</t>
  </si>
  <si>
    <t>CUSTO DIRETO COM ADESIVOS - CAMINHÃO PIPA 10.000 LITROS</t>
  </si>
  <si>
    <t>DESCRIÇÃO DO CUSTO DIRETO COM CAMINHÃO PIPA 10.000 LITROS</t>
  </si>
  <si>
    <t>Valor Mensal CAMINHÃO PIPA 10.000 LITROS</t>
  </si>
  <si>
    <t>Ajudante Noturno (custo p/ 1 colaborador)</t>
  </si>
  <si>
    <t>Ajudante Diurno (custo p/ 1 colaborador)</t>
  </si>
  <si>
    <t>Ajudante diurno</t>
  </si>
  <si>
    <t>Ajudante noturno</t>
  </si>
  <si>
    <t>Gerente GERAL / Engenheiro Agrônomo</t>
  </si>
  <si>
    <t>Porteiro - escala 12 x 36 (custo para 1 colaborador)</t>
  </si>
  <si>
    <t xml:space="preserve">Locação de Veiculo Administrativo , inclusive Manutenção e Combustível - GERÊNCIA </t>
  </si>
  <si>
    <t>Locação de Veiculo de apoio, inclusive Manutenção e Combustível - Encarregado</t>
  </si>
  <si>
    <t>Engenheiro Agrônomo ( custo para 1 colaborador)</t>
  </si>
  <si>
    <t>Custo com Fornecimentos de Mudas Árbóreas, Arbustos, Gramas e Forrações</t>
  </si>
  <si>
    <t>Ajudante</t>
  </si>
  <si>
    <t>TOTAL CUSTO COM FORRAÇÕES</t>
  </si>
  <si>
    <t>TOTAL CUSTO COM ARBUSTOS</t>
  </si>
  <si>
    <t>TOTAL CUSTO COM GRAMA</t>
  </si>
  <si>
    <t>Fornecimentos de Mudas Árbóreas, Arbustos, Gramas e Forrações</t>
  </si>
  <si>
    <t>CUSTO COM DESPESAS ADMININISTRATIVAS</t>
  </si>
  <si>
    <t>RESUMO DOS CUSTOS COM ADMINISTRAÇÃO LOCAL</t>
  </si>
  <si>
    <t xml:space="preserve">CUSTO COM MÃO DE OBRA </t>
  </si>
  <si>
    <t xml:space="preserve">CUSTO COM VEÍCULOS DE APOIO </t>
  </si>
  <si>
    <t xml:space="preserve">Total Global dos Serviços - 12 (doze) meses </t>
  </si>
  <si>
    <t>carrinhos de mão de pneu, capacidade 80l</t>
  </si>
  <si>
    <t>enxadas com cabo de madeira</t>
  </si>
  <si>
    <t>vassouras de piaçava de 20cm</t>
  </si>
  <si>
    <t>foices com cabo</t>
  </si>
  <si>
    <t>rastelos de pvc tipo leque</t>
  </si>
  <si>
    <t>tesouras para poda</t>
  </si>
  <si>
    <t>podão</t>
  </si>
  <si>
    <t>cones de sinalização com refletivo 50 CM</t>
  </si>
  <si>
    <t>telas de nylon tipo mosqueteira</t>
  </si>
  <si>
    <t>tifor de 4 toneladas</t>
  </si>
  <si>
    <t>corda de nylon</t>
  </si>
  <si>
    <t>tesouras de poda</t>
  </si>
  <si>
    <t>Escada Extensivel 4,50 X 7,80 Metros Em Fibra De Vidro</t>
  </si>
  <si>
    <t>Escada Singela Vazada 3,60 X 11 Degraus</t>
  </si>
  <si>
    <t>Metros De Corda Poliamida Com Trava Queda De 12mm</t>
  </si>
  <si>
    <t>Caixa De Ferramentas Sanfonada</t>
  </si>
  <si>
    <t>Lona de poliéster</t>
  </si>
  <si>
    <t>Fita zebrada</t>
  </si>
  <si>
    <t>moto podador tipo HT 131 alcance 3,9m</t>
  </si>
  <si>
    <t>motosserra MS - 250</t>
  </si>
  <si>
    <t xml:space="preserve">UNIFORME / EPI </t>
  </si>
  <si>
    <t>calças de brim</t>
  </si>
  <si>
    <t>calças de segurança para operador de motosserra tipo sayro - 300413</t>
  </si>
  <si>
    <t>camisas de segurança para operador de motosserra tipo sayro 152429</t>
  </si>
  <si>
    <t>perneiras couro escudeiro bl pozip sem velcro</t>
  </si>
  <si>
    <t>luvas motos serrista de cinco dedos</t>
  </si>
  <si>
    <t>capacetes com protetor facial, abafador 3x1</t>
  </si>
  <si>
    <t>protetores auriculares tipo pino</t>
  </si>
  <si>
    <t>protetores faciais (viseira)</t>
  </si>
  <si>
    <t>abafador tipo concha</t>
  </si>
  <si>
    <t>aventais de raspa</t>
  </si>
  <si>
    <t>óculos de segurança</t>
  </si>
  <si>
    <t>bonés</t>
  </si>
  <si>
    <t>capa de chuva</t>
  </si>
  <si>
    <t>protetor solar</t>
  </si>
  <si>
    <t>calçado de segurança</t>
  </si>
  <si>
    <t xml:space="preserve">PLANILHA DE QUANTIDADES E PREÇOS ESTIMADOS </t>
  </si>
  <si>
    <t>Alavanca</t>
  </si>
  <si>
    <t>Roda para carrinho de mão</t>
  </si>
  <si>
    <t>Colher de Pedreiro n° 10</t>
  </si>
  <si>
    <t>Linha rolo 100 metros</t>
  </si>
  <si>
    <t>Nivel de Mão</t>
  </si>
  <si>
    <t>Marreta 2 kg</t>
  </si>
  <si>
    <t>Trena 30 Metros</t>
  </si>
  <si>
    <t xml:space="preserve">Prego </t>
  </si>
  <si>
    <t>Martelo</t>
  </si>
  <si>
    <t>Tabua para Forma Pinus (30 cm) 3 metros</t>
  </si>
  <si>
    <t>Cimento (Preço Tabela Sudecap) 50 kg</t>
  </si>
  <si>
    <t>Brita 0 (Preço Tabela Sudecap)M3</t>
  </si>
  <si>
    <t>Areia (Preço Tabela Sudecap)M3</t>
  </si>
  <si>
    <t>óculos de proteção</t>
  </si>
  <si>
    <t>Telefone fixo</t>
  </si>
  <si>
    <t>EQUIPE PADRÃO PARA FORNECIMENTO DE MUDAS E PLANTIO DE ESPÉCIES GRAMÍNEAS, ARBÓREAS, FRUTÍFERAS, ORNAMENTAIS, ARBUSTIVAS E FORRAGEIRAS EM PRAÇAS, PARQUES, JARDINS E CANTEIROS DO MUNICÍPIO.</t>
  </si>
  <si>
    <t>EQUIPE PADRÃO PARA PRESTAÇÃO DE SERVIÇOS DE PODA E SUPRESSÃO DE ÁRVORES</t>
  </si>
  <si>
    <t>EQUIPE PADRÃO PARA EXECUÇÃO DE SERVIÇOS IRRIGAÇÃO</t>
  </si>
  <si>
    <t>HORAs</t>
  </si>
  <si>
    <t xml:space="preserve">Caminhões pipa, com no máximo 10 anos de fabricação, capacidade mínima de 10.000l, com esguicho e moto bomba com magote para sucção, inclusive motorista,  combustível, manutenção. </t>
  </si>
  <si>
    <t xml:space="preserve">ENCARGOS SOCIAIS </t>
  </si>
  <si>
    <t xml:space="preserve">ONZE HORAS    (25 unidade p/ m2)                  </t>
  </si>
  <si>
    <t xml:space="preserve">AZULZINHA     (25 unidade p/ m2)      </t>
  </si>
  <si>
    <t xml:space="preserve">CLOROFITO     (12 unidade p/ m2)      </t>
  </si>
  <si>
    <t xml:space="preserve">ALHO SOCIAL   (12 unidade p/ m2)      </t>
  </si>
  <si>
    <t xml:space="preserve">GRAMA AMENDOIM   (25 unidade p/ m2)      </t>
  </si>
  <si>
    <t xml:space="preserve">GRAMA AMENDOIM     (25 unidade p/ m2)              </t>
  </si>
  <si>
    <r>
      <t>Vale transporte</t>
    </r>
    <r>
      <rPr>
        <sz val="8"/>
        <rFont val="Times New Roman"/>
        <family val="1"/>
      </rPr>
      <t xml:space="preserve"> (deduzido 6%)</t>
    </r>
  </si>
  <si>
    <r>
      <rPr>
        <sz val="10"/>
        <color indexed="8"/>
        <rFont val="Times New Roman"/>
        <family val="1"/>
      </rPr>
      <t>FLAMBOYANT MIRIM</t>
    </r>
  </si>
  <si>
    <r>
      <rPr>
        <sz val="10"/>
        <color indexed="8"/>
        <rFont val="Times New Roman"/>
        <family val="1"/>
      </rPr>
      <t>IPE MIRIM</t>
    </r>
  </si>
  <si>
    <r>
      <rPr>
        <sz val="10"/>
        <color indexed="8"/>
        <rFont val="Times New Roman"/>
        <family val="1"/>
      </rPr>
      <t>MOREIA BRANCA</t>
    </r>
  </si>
  <si>
    <r>
      <rPr>
        <sz val="10"/>
        <color indexed="8"/>
        <rFont val="Times New Roman"/>
        <family val="1"/>
      </rPr>
      <t>AZALÉIA</t>
    </r>
  </si>
  <si>
    <r>
      <rPr>
        <sz val="10"/>
        <color indexed="8"/>
        <rFont val="Times New Roman"/>
        <family val="1"/>
      </rPr>
      <t>CALISTEMO</t>
    </r>
  </si>
  <si>
    <r>
      <rPr>
        <sz val="10"/>
        <color indexed="8"/>
        <rFont val="Times New Roman"/>
        <family val="1"/>
      </rPr>
      <t>RESEDA</t>
    </r>
  </si>
  <si>
    <r>
      <rPr>
        <sz val="10"/>
        <color indexed="8"/>
        <rFont val="Times New Roman"/>
        <family val="1"/>
      </rPr>
      <t>FENIX</t>
    </r>
  </si>
  <si>
    <r>
      <rPr>
        <sz val="10"/>
        <color indexed="8"/>
        <rFont val="Times New Roman"/>
        <family val="1"/>
      </rPr>
      <t>ESTRELITZIA</t>
    </r>
  </si>
  <si>
    <r>
      <rPr>
        <sz val="10"/>
        <color indexed="8"/>
        <rFont val="Times New Roman"/>
        <family val="1"/>
      </rPr>
      <t>ARECA BAMBÚ</t>
    </r>
  </si>
  <si>
    <r>
      <rPr>
        <sz val="10"/>
        <color indexed="8"/>
        <rFont val="Times New Roman"/>
        <family val="1"/>
      </rPr>
      <t>PALMEIRA LEQUE</t>
    </r>
  </si>
  <si>
    <r>
      <t>Vale transporte</t>
    </r>
    <r>
      <rPr>
        <sz val="6"/>
        <rFont val="Times New Roman"/>
        <family val="1"/>
      </rPr>
      <t xml:space="preserve"> (deduzido 6%)</t>
    </r>
  </si>
  <si>
    <r>
      <rPr>
        <sz val="11"/>
        <color indexed="8"/>
        <rFont val="Times New Roman"/>
        <family val="1"/>
      </rPr>
      <t>FLAMBOYANT MIRIM</t>
    </r>
  </si>
  <si>
    <r>
      <rPr>
        <sz val="11"/>
        <color indexed="8"/>
        <rFont val="Times New Roman"/>
        <family val="1"/>
      </rPr>
      <t>IPE MIRIM</t>
    </r>
  </si>
  <si>
    <r>
      <rPr>
        <sz val="11"/>
        <color indexed="8"/>
        <rFont val="Times New Roman"/>
        <family val="1"/>
      </rPr>
      <t>MOREIA BRANCA</t>
    </r>
  </si>
  <si>
    <r>
      <rPr>
        <sz val="11"/>
        <color indexed="8"/>
        <rFont val="Times New Roman"/>
        <family val="1"/>
      </rPr>
      <t>AZALÉIA</t>
    </r>
  </si>
  <si>
    <r>
      <rPr>
        <sz val="11"/>
        <color indexed="8"/>
        <rFont val="Times New Roman"/>
        <family val="1"/>
      </rPr>
      <t>CALISTEMO</t>
    </r>
  </si>
  <si>
    <r>
      <rPr>
        <sz val="11"/>
        <color indexed="8"/>
        <rFont val="Times New Roman"/>
        <family val="1"/>
      </rPr>
      <t>RESEDA</t>
    </r>
  </si>
  <si>
    <r>
      <rPr>
        <sz val="11"/>
        <color indexed="8"/>
        <rFont val="Times New Roman"/>
        <family val="1"/>
      </rPr>
      <t>FENIX</t>
    </r>
  </si>
  <si>
    <r>
      <rPr>
        <sz val="11"/>
        <color indexed="8"/>
        <rFont val="Times New Roman"/>
        <family val="1"/>
      </rPr>
      <t>ESTRELITZIA</t>
    </r>
  </si>
  <si>
    <r>
      <rPr>
        <sz val="11"/>
        <color indexed="8"/>
        <rFont val="Times New Roman"/>
        <family val="1"/>
      </rPr>
      <t>ARECA BAMBÚ</t>
    </r>
  </si>
  <si>
    <r>
      <rPr>
        <sz val="11"/>
        <color indexed="8"/>
        <rFont val="Times New Roman"/>
        <family val="1"/>
      </rPr>
      <t>PALMEIRA LEQUE</t>
    </r>
  </si>
  <si>
    <r>
      <rPr>
        <sz val="12"/>
        <color indexed="8"/>
        <rFont val="Times New Roman"/>
        <family val="1"/>
      </rPr>
      <t>ADUBO ORGÂNICO ( ESTERCO DE GADO)</t>
    </r>
  </si>
  <si>
    <r>
      <rPr>
        <sz val="12"/>
        <color indexed="8"/>
        <rFont val="Times New Roman"/>
        <family val="1"/>
      </rPr>
      <t>TERRA VEGETAL</t>
    </r>
  </si>
  <si>
    <r>
      <rPr>
        <sz val="12"/>
        <color indexed="8"/>
        <rFont val="Times New Roman"/>
        <family val="1"/>
      </rPr>
      <t>CÁLCARIO</t>
    </r>
  </si>
  <si>
    <r>
      <rPr>
        <sz val="12"/>
        <color indexed="8"/>
        <rFont val="Times New Roman"/>
        <family val="1"/>
      </rPr>
      <t>ADUBO QUMICO NPK 4</t>
    </r>
    <r>
      <rPr>
        <sz val="12"/>
        <color indexed="63"/>
        <rFont val="Times New Roman"/>
        <family val="1"/>
      </rPr>
      <t>.</t>
    </r>
    <r>
      <rPr>
        <sz val="12"/>
        <color indexed="8"/>
        <rFont val="Times New Roman"/>
        <family val="1"/>
      </rPr>
      <t>14</t>
    </r>
    <r>
      <rPr>
        <sz val="12"/>
        <color indexed="63"/>
        <rFont val="Times New Roman"/>
        <family val="1"/>
      </rPr>
      <t>.</t>
    </r>
    <r>
      <rPr>
        <sz val="12"/>
        <color indexed="8"/>
        <rFont val="Times New Roman"/>
        <family val="1"/>
      </rPr>
      <t>8</t>
    </r>
  </si>
  <si>
    <r>
      <rPr>
        <sz val="12"/>
        <color indexed="8"/>
        <rFont val="Times New Roman"/>
        <family val="1"/>
      </rPr>
      <t>ADUBO QUÍMICO NPK 20.5</t>
    </r>
    <r>
      <rPr>
        <sz val="12"/>
        <color indexed="63"/>
        <rFont val="Times New Roman"/>
        <family val="1"/>
      </rPr>
      <t>.</t>
    </r>
    <r>
      <rPr>
        <sz val="12"/>
        <color indexed="8"/>
        <rFont val="Times New Roman"/>
        <family val="1"/>
      </rPr>
      <t>20</t>
    </r>
  </si>
  <si>
    <r>
      <rPr>
        <sz val="12"/>
        <color indexed="8"/>
        <rFont val="Times New Roman"/>
        <family val="1"/>
      </rPr>
      <t>ADUBO QUÍMICO NPK 8.28</t>
    </r>
    <r>
      <rPr>
        <sz val="12"/>
        <color indexed="63"/>
        <rFont val="Times New Roman"/>
        <family val="1"/>
      </rPr>
      <t>.</t>
    </r>
    <r>
      <rPr>
        <sz val="12"/>
        <color indexed="8"/>
        <rFont val="Times New Roman"/>
        <family val="1"/>
      </rPr>
      <t>16</t>
    </r>
  </si>
  <si>
    <r>
      <rPr>
        <sz val="12"/>
        <color indexed="8"/>
        <rFont val="Times New Roman"/>
        <family val="1"/>
      </rPr>
      <t xml:space="preserve">ADUBO COBERTURA </t>
    </r>
    <r>
      <rPr>
        <sz val="12"/>
        <color indexed="63"/>
        <rFont val="Times New Roman"/>
        <family val="1"/>
      </rPr>
      <t xml:space="preserve">FOSFATO E </t>
    </r>
    <r>
      <rPr>
        <sz val="12"/>
        <color indexed="8"/>
        <rFont val="Times New Roman"/>
        <family val="1"/>
      </rPr>
      <t>POTÁSSIO</t>
    </r>
  </si>
  <si>
    <r>
      <rPr>
        <sz val="12"/>
        <color indexed="8"/>
        <rFont val="Times New Roman"/>
        <family val="1"/>
      </rPr>
      <t>ADUBO QUÍMICO COBERTURA (URÉIA)</t>
    </r>
  </si>
  <si>
    <r>
      <rPr>
        <sz val="12"/>
        <color indexed="8"/>
        <rFont val="Times New Roman"/>
        <family val="1"/>
      </rPr>
      <t>ADUBO COBERTURA SULFATO DE AMÔNIA</t>
    </r>
  </si>
  <si>
    <r>
      <rPr>
        <sz val="12"/>
        <color indexed="8"/>
        <rFont val="Times New Roman"/>
        <family val="1"/>
      </rPr>
      <t>FORMICIDA EM PÓ</t>
    </r>
  </si>
  <si>
    <r>
      <rPr>
        <sz val="12"/>
        <color indexed="8"/>
        <rFont val="Times New Roman"/>
        <family val="1"/>
      </rPr>
      <t>FUNGICIDA DE CONTATO</t>
    </r>
  </si>
  <si>
    <r>
      <rPr>
        <sz val="12"/>
        <color indexed="8"/>
        <rFont val="Times New Roman"/>
        <family val="1"/>
      </rPr>
      <t>INSETICIDA DE CONTATO</t>
    </r>
  </si>
  <si>
    <t>ADUBO QUÍMICO NPK 10.10.10+</t>
  </si>
</sst>
</file>

<file path=xl/styles.xml><?xml version="1.0" encoding="utf-8"?>
<styleSheet xmlns="http://schemas.openxmlformats.org/spreadsheetml/2006/main">
  <numFmts count="4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&quot;R$&quot;\ #,##0.00"/>
    <numFmt numFmtId="174" formatCode="#,##0.00\ &quot;h&quot;"/>
    <numFmt numFmtId="175" formatCode="0\)"/>
    <numFmt numFmtId="176" formatCode="#,##0.00\ &quot;ton/mês&quot;"/>
    <numFmt numFmtId="177" formatCode="&quot;R$&quot;\ #,##0.00\ "/>
    <numFmt numFmtId="178" formatCode="#,##0.00\ "/>
    <numFmt numFmtId="179" formatCode="&quot;R$ &quot;#,##0.00"/>
    <numFmt numFmtId="180" formatCode="_(&quot;R$&quot;* #,##0.000_);_(&quot;R$&quot;* \(#,##0.000\);_(&quot;R$&quot;* &quot;-&quot;??_);_(@_)"/>
    <numFmt numFmtId="181" formatCode="#,##0\ &quot;conj&quot;"/>
    <numFmt numFmtId="182" formatCode="#,##0.000000"/>
    <numFmt numFmtId="183" formatCode="_(* #,##0_);_(* \(#,##0\);_(* &quot;-&quot;??_);_(@_)"/>
    <numFmt numFmtId="184" formatCode="#,##0.000"/>
    <numFmt numFmtId="185" formatCode="0.000"/>
    <numFmt numFmtId="186" formatCode="0.0"/>
    <numFmt numFmtId="187" formatCode="0.0000"/>
    <numFmt numFmtId="188" formatCode="#,##0.00\ &quot;m²/mês&quot;"/>
    <numFmt numFmtId="189" formatCode="#,##0.00\ &quot;Equipe/mês&quot;"/>
    <numFmt numFmtId="190" formatCode="[$-416]mmm\-yy;@"/>
    <numFmt numFmtId="191" formatCode="&quot;R$&quot;\ #,##0.000"/>
    <numFmt numFmtId="192" formatCode="&quot;Sim&quot;;&quot;Sim&quot;;&quot;Não&quot;"/>
    <numFmt numFmtId="193" formatCode="&quot;Verdadeiro&quot;;&quot;Verdadeiro&quot;;&quot;Falso&quot;"/>
    <numFmt numFmtId="194" formatCode="&quot;Ativado&quot;;&quot;Ativado&quot;;&quot;Desativado&quot;"/>
    <numFmt numFmtId="195" formatCode="[$€-2]\ #,##0.00_);[Red]\([$€-2]\ #,##0.00\)"/>
    <numFmt numFmtId="196" formatCode="0.0%"/>
    <numFmt numFmtId="197" formatCode="#,##0\ &quot;Kit&quot;"/>
    <numFmt numFmtId="198" formatCode="#,##0\ &quot;kit&quot;"/>
    <numFmt numFmtId="199" formatCode="_-[$R$-416]* #,##0.00_-;\-[$R$-416]* #,##0.00_-;_-[$R$-416]* &quot;-&quot;??_-;_-@_-"/>
    <numFmt numFmtId="200" formatCode="_(&quot;$&quot;* #,##0.00_);_(&quot;$&quot;* \(#,##0.00\);_(&quot;$&quot;* &quot;-&quot;??_);_(@_)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8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55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9"/>
      <color indexed="10"/>
      <name val="Times New Roman"/>
      <family val="1"/>
    </font>
    <font>
      <b/>
      <i/>
      <u val="double"/>
      <sz val="12"/>
      <color indexed="8"/>
      <name val="Times New Roman"/>
      <family val="1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sz val="11"/>
      <color rgb="FF080808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sz val="12"/>
      <color rgb="FF000000"/>
      <name val="Times New Roman"/>
      <family val="1"/>
    </font>
    <font>
      <sz val="12"/>
      <color theme="0" tint="-0.3499799966812134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rgb="FF080808"/>
      <name val="Times New Roman"/>
      <family val="1"/>
    </font>
    <font>
      <sz val="10"/>
      <color rgb="FF080808"/>
      <name val="Times New Roman"/>
      <family val="1"/>
    </font>
    <font>
      <b/>
      <i/>
      <sz val="9"/>
      <color rgb="FFFF0000"/>
      <name val="Times New Roman"/>
      <family val="1"/>
    </font>
    <font>
      <b/>
      <i/>
      <u val="double"/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/>
    </border>
    <border>
      <left style="thin"/>
      <right style="hair"/>
      <top/>
      <bottom/>
    </border>
    <border>
      <left style="thin"/>
      <right style="hair"/>
      <top/>
      <bottom style="hair"/>
    </border>
    <border>
      <left/>
      <right style="thin"/>
      <top style="hair"/>
      <bottom style="hair"/>
    </border>
    <border>
      <left style="thin">
        <color rgb="FF2B2828"/>
      </left>
      <right/>
      <top>
        <color indexed="63"/>
      </top>
      <bottom style="thin">
        <color rgb="FF2F2F2B"/>
      </bottom>
    </border>
    <border>
      <left style="thin">
        <color rgb="FF2B2828"/>
      </left>
      <right/>
      <top style="thin">
        <color rgb="FF2F2F2B"/>
      </top>
      <bottom>
        <color indexed="63"/>
      </bottom>
    </border>
    <border>
      <left style="thin">
        <color rgb="FF2B2828"/>
      </left>
      <right>
        <color indexed="63"/>
      </right>
      <top style="thin"/>
      <bottom style="thin">
        <color rgb="FF2F2F2B"/>
      </bottom>
    </border>
    <border>
      <left>
        <color indexed="63"/>
      </left>
      <right>
        <color indexed="63"/>
      </right>
      <top style="thin"/>
      <bottom style="thin">
        <color rgb="FF2F2F2B"/>
      </bottom>
    </border>
    <border>
      <left>
        <color indexed="63"/>
      </left>
      <right style="thin"/>
      <top style="thin"/>
      <bottom style="thin">
        <color rgb="FF2F2F2B"/>
      </bottom>
    </border>
    <border>
      <left style="thin">
        <color rgb="FF2B2828"/>
      </left>
      <right>
        <color indexed="63"/>
      </right>
      <top style="thin">
        <color rgb="FF2F2F2B"/>
      </top>
      <bottom style="thin"/>
    </border>
    <border>
      <left>
        <color indexed="63"/>
      </left>
      <right>
        <color indexed="63"/>
      </right>
      <top style="thin">
        <color rgb="FF2F2F2B"/>
      </top>
      <bottom style="thin"/>
    </border>
    <border>
      <left>
        <color indexed="63"/>
      </left>
      <right style="thin"/>
      <top style="thin">
        <color rgb="FF2F2F2B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/>
      <right style="thin"/>
      <top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60" fillId="0" borderId="0" applyNumberFormat="0" applyFill="0" applyBorder="0" applyAlignment="0" applyProtection="0"/>
    <xf numFmtId="199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9" fillId="3" borderId="0" applyNumberFormat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0" fontId="6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9" fontId="63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199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0" fontId="63" fillId="24" borderId="5" applyNumberFormat="0" applyFont="0" applyAlignment="0" applyProtection="0"/>
    <xf numFmtId="40" fontId="11" fillId="25" borderId="0">
      <alignment horizontal="right"/>
      <protection/>
    </xf>
    <xf numFmtId="0" fontId="12" fillId="25" borderId="0">
      <alignment horizontal="right"/>
      <protection/>
    </xf>
    <xf numFmtId="0" fontId="13" fillId="25" borderId="6">
      <alignment/>
      <protection/>
    </xf>
    <xf numFmtId="0" fontId="13" fillId="0" borderId="0" applyBorder="0">
      <alignment horizontal="centerContinuous"/>
      <protection/>
    </xf>
    <xf numFmtId="0" fontId="14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16" borderId="7" applyNumberFormat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2" fillId="0" borderId="11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</cellStyleXfs>
  <cellXfs count="609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190" fontId="27" fillId="26" borderId="12" xfId="0" applyNumberFormat="1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justify" vertical="center" wrapText="1"/>
    </xf>
    <xf numFmtId="0" fontId="28" fillId="0" borderId="15" xfId="0" applyFont="1" applyFill="1" applyBorder="1" applyAlignment="1">
      <alignment horizontal="center" vertical="center"/>
    </xf>
    <xf numFmtId="171" fontId="28" fillId="0" borderId="15" xfId="121" applyFont="1" applyFill="1" applyBorder="1" applyAlignment="1">
      <alignment horizontal="left" vertical="center"/>
    </xf>
    <xf numFmtId="172" fontId="28" fillId="0" borderId="15" xfId="48" applyFont="1" applyFill="1" applyBorder="1" applyAlignment="1">
      <alignment horizontal="left" vertical="center"/>
    </xf>
    <xf numFmtId="173" fontId="28" fillId="0" borderId="12" xfId="0" applyNumberFormat="1" applyFont="1" applyFill="1" applyBorder="1" applyAlignment="1">
      <alignment horizontal="center" vertical="center" wrapText="1"/>
    </xf>
    <xf numFmtId="171" fontId="28" fillId="0" borderId="15" xfId="121" applyFont="1" applyFill="1" applyBorder="1" applyAlignment="1">
      <alignment horizontal="center" vertical="center"/>
    </xf>
    <xf numFmtId="172" fontId="28" fillId="0" borderId="15" xfId="48" applyFont="1" applyFill="1" applyBorder="1" applyAlignment="1">
      <alignment horizontal="center" vertical="center"/>
    </xf>
    <xf numFmtId="171" fontId="28" fillId="0" borderId="15" xfId="121" applyFont="1" applyFill="1" applyBorder="1" applyAlignment="1">
      <alignment vertical="center" wrapText="1"/>
    </xf>
    <xf numFmtId="172" fontId="28" fillId="0" borderId="15" xfId="48" applyFont="1" applyFill="1" applyBorder="1" applyAlignment="1">
      <alignment vertical="center" wrapText="1"/>
    </xf>
    <xf numFmtId="4" fontId="30" fillId="0" borderId="0" xfId="0" applyNumberFormat="1" applyFont="1" applyFill="1" applyAlignment="1">
      <alignment horizontal="center" vertical="center"/>
    </xf>
    <xf numFmtId="4" fontId="31" fillId="0" borderId="0" xfId="0" applyNumberFormat="1" applyFont="1" applyFill="1" applyBorder="1" applyAlignment="1">
      <alignment vertical="center"/>
    </xf>
    <xf numFmtId="14" fontId="30" fillId="0" borderId="0" xfId="0" applyNumberFormat="1" applyFont="1" applyFill="1" applyAlignment="1">
      <alignment horizontal="left" vertical="center"/>
    </xf>
    <xf numFmtId="4" fontId="30" fillId="0" borderId="0" xfId="0" applyNumberFormat="1" applyFont="1" applyFill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75" fontId="32" fillId="0" borderId="14" xfId="0" applyNumberFormat="1" applyFont="1" applyFill="1" applyBorder="1" applyAlignment="1">
      <alignment horizontal="left" vertical="center" wrapText="1"/>
    </xf>
    <xf numFmtId="175" fontId="32" fillId="0" borderId="0" xfId="0" applyNumberFormat="1" applyFont="1" applyFill="1" applyBorder="1" applyAlignment="1">
      <alignment vertical="center" wrapText="1"/>
    </xf>
    <xf numFmtId="175" fontId="33" fillId="0" borderId="0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/>
    </xf>
    <xf numFmtId="175" fontId="34" fillId="0" borderId="0" xfId="0" applyNumberFormat="1" applyFont="1" applyFill="1" applyBorder="1" applyAlignment="1">
      <alignment vertical="center" wrapText="1"/>
    </xf>
    <xf numFmtId="175" fontId="34" fillId="0" borderId="0" xfId="0" applyNumberFormat="1" applyFont="1" applyFill="1" applyBorder="1" applyAlignment="1">
      <alignment horizontal="center" vertical="center" wrapText="1"/>
    </xf>
    <xf numFmtId="17" fontId="27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Fill="1" applyBorder="1" applyAlignment="1">
      <alignment vertical="center"/>
    </xf>
    <xf numFmtId="175" fontId="27" fillId="0" borderId="0" xfId="0" applyNumberFormat="1" applyFont="1" applyFill="1" applyAlignment="1">
      <alignment horizontal="left" vertical="center"/>
    </xf>
    <xf numFmtId="4" fontId="28" fillId="26" borderId="0" xfId="0" applyNumberFormat="1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>
      <alignment horizontal="left" vertical="center" wrapText="1"/>
    </xf>
    <xf numFmtId="4" fontId="28" fillId="0" borderId="0" xfId="0" applyNumberFormat="1" applyFont="1" applyFill="1" applyAlignment="1">
      <alignment horizontal="left" vertical="center" wrapText="1"/>
    </xf>
    <xf numFmtId="4" fontId="28" fillId="0" borderId="0" xfId="0" applyNumberFormat="1" applyFont="1" applyFill="1" applyAlignment="1">
      <alignment vertical="center"/>
    </xf>
    <xf numFmtId="4" fontId="28" fillId="0" borderId="0" xfId="0" applyNumberFormat="1" applyFont="1" applyFill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 wrapText="1"/>
    </xf>
    <xf numFmtId="176" fontId="28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Alignment="1">
      <alignment horizontal="left" vertical="center"/>
    </xf>
    <xf numFmtId="4" fontId="28" fillId="0" borderId="0" xfId="0" applyNumberFormat="1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left" vertical="center"/>
    </xf>
    <xf numFmtId="4" fontId="28" fillId="0" borderId="16" xfId="0" applyNumberFormat="1" applyFont="1" applyFill="1" applyBorder="1" applyAlignment="1">
      <alignment horizontal="left" vertical="center"/>
    </xf>
    <xf numFmtId="4" fontId="28" fillId="0" borderId="12" xfId="0" applyNumberFormat="1" applyFont="1" applyFill="1" applyBorder="1" applyAlignment="1">
      <alignment horizontal="left" vertical="center"/>
    </xf>
    <xf numFmtId="2" fontId="27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left" vertical="center"/>
    </xf>
    <xf numFmtId="1" fontId="27" fillId="0" borderId="0" xfId="0" applyNumberFormat="1" applyFont="1" applyFill="1" applyBorder="1" applyAlignment="1">
      <alignment horizontal="center" vertical="center"/>
    </xf>
    <xf numFmtId="4" fontId="36" fillId="0" borderId="0" xfId="0" applyNumberFormat="1" applyFont="1" applyFill="1" applyAlignment="1">
      <alignment vertical="center"/>
    </xf>
    <xf numFmtId="4" fontId="27" fillId="0" borderId="15" xfId="0" applyNumberFormat="1" applyFont="1" applyFill="1" applyBorder="1" applyAlignment="1">
      <alignment horizontal="center" vertical="center"/>
    </xf>
    <xf numFmtId="175" fontId="28" fillId="0" borderId="14" xfId="0" applyNumberFormat="1" applyFont="1" applyFill="1" applyBorder="1" applyAlignment="1">
      <alignment vertical="center"/>
    </xf>
    <xf numFmtId="175" fontId="28" fillId="0" borderId="16" xfId="0" applyNumberFormat="1" applyFont="1" applyFill="1" applyBorder="1" applyAlignment="1">
      <alignment vertical="center"/>
    </xf>
    <xf numFmtId="175" fontId="28" fillId="0" borderId="12" xfId="0" applyNumberFormat="1" applyFont="1" applyFill="1" applyBorder="1" applyAlignment="1">
      <alignment vertical="center"/>
    </xf>
    <xf numFmtId="4" fontId="28" fillId="0" borderId="15" xfId="0" applyNumberFormat="1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center" vertical="center"/>
    </xf>
    <xf numFmtId="4" fontId="28" fillId="0" borderId="12" xfId="0" applyNumberFormat="1" applyFont="1" applyFill="1" applyBorder="1" applyAlignment="1">
      <alignment horizontal="center" vertical="center"/>
    </xf>
    <xf numFmtId="175" fontId="28" fillId="0" borderId="17" xfId="0" applyNumberFormat="1" applyFont="1" applyFill="1" applyBorder="1" applyAlignment="1">
      <alignment vertical="center"/>
    </xf>
    <xf numFmtId="175" fontId="28" fillId="0" borderId="18" xfId="0" applyNumberFormat="1" applyFont="1" applyFill="1" applyBorder="1" applyAlignment="1">
      <alignment vertical="center"/>
    </xf>
    <xf numFmtId="175" fontId="28" fillId="0" borderId="19" xfId="0" applyNumberFormat="1" applyFont="1" applyFill="1" applyBorder="1" applyAlignment="1">
      <alignment vertical="center"/>
    </xf>
    <xf numFmtId="4" fontId="28" fillId="0" borderId="20" xfId="0" applyNumberFormat="1" applyFont="1" applyFill="1" applyBorder="1" applyAlignment="1">
      <alignment horizontal="center" vertical="center"/>
    </xf>
    <xf numFmtId="4" fontId="28" fillId="0" borderId="17" xfId="0" applyNumberFormat="1" applyFont="1" applyFill="1" applyBorder="1" applyAlignment="1">
      <alignment horizontal="center" vertical="center"/>
    </xf>
    <xf numFmtId="175" fontId="28" fillId="0" borderId="14" xfId="0" applyNumberFormat="1" applyFont="1" applyFill="1" applyBorder="1" applyAlignment="1">
      <alignment horizontal="left" vertical="center"/>
    </xf>
    <xf numFmtId="175" fontId="28" fillId="0" borderId="16" xfId="0" applyNumberFormat="1" applyFont="1" applyFill="1" applyBorder="1" applyAlignment="1">
      <alignment horizontal="left" vertical="center"/>
    </xf>
    <xf numFmtId="175" fontId="28" fillId="0" borderId="12" xfId="0" applyNumberFormat="1" applyFont="1" applyFill="1" applyBorder="1" applyAlignment="1">
      <alignment horizontal="left" vertical="center"/>
    </xf>
    <xf numFmtId="175" fontId="28" fillId="0" borderId="0" xfId="0" applyNumberFormat="1" applyFont="1" applyFill="1" applyBorder="1" applyAlignment="1">
      <alignment vertical="center"/>
    </xf>
    <xf numFmtId="175" fontId="27" fillId="0" borderId="0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horizontal="center" vertical="center"/>
    </xf>
    <xf numFmtId="4" fontId="27" fillId="27" borderId="14" xfId="0" applyNumberFormat="1" applyFont="1" applyFill="1" applyBorder="1" applyAlignment="1">
      <alignment vertical="center"/>
    </xf>
    <xf numFmtId="4" fontId="28" fillId="27" borderId="16" xfId="0" applyNumberFormat="1" applyFont="1" applyFill="1" applyBorder="1" applyAlignment="1">
      <alignment horizontal="center" vertical="center"/>
    </xf>
    <xf numFmtId="4" fontId="28" fillId="27" borderId="16" xfId="0" applyNumberFormat="1" applyFont="1" applyFill="1" applyBorder="1" applyAlignment="1">
      <alignment vertical="center"/>
    </xf>
    <xf numFmtId="4" fontId="28" fillId="27" borderId="12" xfId="0" applyNumberFormat="1" applyFont="1" applyFill="1" applyBorder="1" applyAlignment="1">
      <alignment vertical="center"/>
    </xf>
    <xf numFmtId="4" fontId="28" fillId="26" borderId="0" xfId="0" applyNumberFormat="1" applyFont="1" applyFill="1" applyAlignment="1">
      <alignment horizontal="center" vertical="center"/>
    </xf>
    <xf numFmtId="4" fontId="28" fillId="26" borderId="0" xfId="0" applyNumberFormat="1" applyFont="1" applyFill="1" applyAlignment="1">
      <alignment vertical="center"/>
    </xf>
    <xf numFmtId="4" fontId="28" fillId="0" borderId="14" xfId="0" applyNumberFormat="1" applyFont="1" applyFill="1" applyBorder="1" applyAlignment="1">
      <alignment vertical="center"/>
    </xf>
    <xf numFmtId="4" fontId="28" fillId="0" borderId="16" xfId="0" applyNumberFormat="1" applyFont="1" applyFill="1" applyBorder="1" applyAlignment="1">
      <alignment horizontal="center" vertical="center"/>
    </xf>
    <xf numFmtId="1" fontId="28" fillId="0" borderId="16" xfId="0" applyNumberFormat="1" applyFont="1" applyFill="1" applyBorder="1" applyAlignment="1">
      <alignment vertical="center"/>
    </xf>
    <xf numFmtId="177" fontId="28" fillId="0" borderId="16" xfId="0" applyNumberFormat="1" applyFont="1" applyFill="1" applyBorder="1" applyAlignment="1">
      <alignment vertical="center"/>
    </xf>
    <xf numFmtId="172" fontId="28" fillId="0" borderId="12" xfId="48" applyFont="1" applyFill="1" applyBorder="1" applyAlignment="1">
      <alignment vertical="center"/>
    </xf>
    <xf numFmtId="10" fontId="28" fillId="0" borderId="16" xfId="0" applyNumberFormat="1" applyFont="1" applyFill="1" applyBorder="1" applyAlignment="1">
      <alignment horizontal="right" vertical="center"/>
    </xf>
    <xf numFmtId="174" fontId="28" fillId="0" borderId="16" xfId="0" applyNumberFormat="1" applyFont="1" applyFill="1" applyBorder="1" applyAlignment="1">
      <alignment horizontal="right" vertical="center"/>
    </xf>
    <xf numFmtId="10" fontId="27" fillId="26" borderId="16" xfId="0" applyNumberFormat="1" applyFont="1" applyFill="1" applyBorder="1" applyAlignment="1">
      <alignment vertical="center"/>
    </xf>
    <xf numFmtId="173" fontId="28" fillId="0" borderId="16" xfId="0" applyNumberFormat="1" applyFont="1" applyFill="1" applyBorder="1" applyAlignment="1">
      <alignment vertical="center"/>
    </xf>
    <xf numFmtId="4" fontId="27" fillId="0" borderId="14" xfId="0" applyNumberFormat="1" applyFont="1" applyFill="1" applyBorder="1" applyAlignment="1">
      <alignment vertical="center"/>
    </xf>
    <xf numFmtId="10" fontId="28" fillId="0" borderId="16" xfId="0" applyNumberFormat="1" applyFont="1" applyFill="1" applyBorder="1" applyAlignment="1">
      <alignment vertical="center"/>
    </xf>
    <xf numFmtId="172" fontId="27" fillId="0" borderId="12" xfId="48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horizontal="center" vertical="center"/>
    </xf>
    <xf numFmtId="4" fontId="37" fillId="0" borderId="14" xfId="0" applyNumberFormat="1" applyFont="1" applyFill="1" applyBorder="1" applyAlignment="1">
      <alignment vertical="center"/>
    </xf>
    <xf numFmtId="49" fontId="28" fillId="0" borderId="16" xfId="0" applyNumberFormat="1" applyFont="1" applyFill="1" applyBorder="1" applyAlignment="1">
      <alignment horizontal="center" vertical="center"/>
    </xf>
    <xf numFmtId="4" fontId="35" fillId="0" borderId="21" xfId="0" applyNumberFormat="1" applyFont="1" applyFill="1" applyBorder="1" applyAlignment="1">
      <alignment vertical="center"/>
    </xf>
    <xf numFmtId="1" fontId="28" fillId="0" borderId="0" xfId="0" applyNumberFormat="1" applyFont="1" applyFill="1" applyBorder="1" applyAlignment="1">
      <alignment vertical="center"/>
    </xf>
    <xf numFmtId="173" fontId="28" fillId="0" borderId="0" xfId="0" applyNumberFormat="1" applyFont="1" applyFill="1" applyBorder="1" applyAlignment="1">
      <alignment vertical="center"/>
    </xf>
    <xf numFmtId="172" fontId="28" fillId="0" borderId="6" xfId="48" applyFont="1" applyFill="1" applyBorder="1" applyAlignment="1">
      <alignment vertical="center"/>
    </xf>
    <xf numFmtId="2" fontId="28" fillId="0" borderId="16" xfId="0" applyNumberFormat="1" applyFont="1" applyFill="1" applyBorder="1" applyAlignment="1">
      <alignment vertical="center"/>
    </xf>
    <xf numFmtId="4" fontId="28" fillId="0" borderId="0" xfId="0" applyNumberFormat="1" applyFont="1" applyFill="1" applyBorder="1" applyAlignment="1">
      <alignment vertical="center"/>
    </xf>
    <xf numFmtId="197" fontId="28" fillId="0" borderId="16" xfId="0" applyNumberFormat="1" applyFont="1" applyFill="1" applyBorder="1" applyAlignment="1">
      <alignment vertical="center"/>
    </xf>
    <xf numFmtId="4" fontId="27" fillId="0" borderId="16" xfId="0" applyNumberFormat="1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vertical="center"/>
    </xf>
    <xf numFmtId="172" fontId="27" fillId="28" borderId="12" xfId="48" applyFont="1" applyFill="1" applyBorder="1" applyAlignment="1">
      <alignment vertical="center" shrinkToFit="1"/>
    </xf>
    <xf numFmtId="173" fontId="28" fillId="0" borderId="0" xfId="0" applyNumberFormat="1" applyFont="1" applyFill="1" applyAlignment="1">
      <alignment vertical="center" shrinkToFit="1"/>
    </xf>
    <xf numFmtId="4" fontId="35" fillId="0" borderId="14" xfId="0" applyNumberFormat="1" applyFont="1" applyFill="1" applyBorder="1" applyAlignment="1">
      <alignment vertical="center"/>
    </xf>
    <xf numFmtId="181" fontId="28" fillId="0" borderId="16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173" fontId="27" fillId="0" borderId="0" xfId="0" applyNumberFormat="1" applyFont="1" applyFill="1" applyBorder="1" applyAlignment="1">
      <alignment vertical="center" shrinkToFit="1"/>
    </xf>
    <xf numFmtId="4" fontId="27" fillId="26" borderId="14" xfId="0" applyNumberFormat="1" applyFont="1" applyFill="1" applyBorder="1" applyAlignment="1">
      <alignment vertical="center"/>
    </xf>
    <xf numFmtId="4" fontId="27" fillId="26" borderId="16" xfId="0" applyNumberFormat="1" applyFont="1" applyFill="1" applyBorder="1" applyAlignment="1">
      <alignment horizontal="center" vertical="center"/>
    </xf>
    <xf numFmtId="173" fontId="27" fillId="26" borderId="15" xfId="0" applyNumberFormat="1" applyFont="1" applyFill="1" applyBorder="1" applyAlignment="1">
      <alignment vertical="center" shrinkToFit="1"/>
    </xf>
    <xf numFmtId="173" fontId="27" fillId="26" borderId="0" xfId="0" applyNumberFormat="1" applyFont="1" applyFill="1" applyBorder="1" applyAlignment="1">
      <alignment vertical="center" shrinkToFit="1"/>
    </xf>
    <xf numFmtId="4" fontId="28" fillId="0" borderId="21" xfId="0" applyNumberFormat="1" applyFont="1" applyFill="1" applyBorder="1" applyAlignment="1">
      <alignment vertical="center"/>
    </xf>
    <xf numFmtId="3" fontId="28" fillId="0" borderId="14" xfId="0" applyNumberFormat="1" applyFont="1" applyFill="1" applyBorder="1" applyAlignment="1">
      <alignment vertical="center"/>
    </xf>
    <xf numFmtId="172" fontId="28" fillId="0" borderId="15" xfId="48" applyFont="1" applyFill="1" applyBorder="1" applyAlignment="1">
      <alignment vertical="center"/>
    </xf>
    <xf numFmtId="4" fontId="28" fillId="0" borderId="16" xfId="0" applyNumberFormat="1" applyFont="1" applyFill="1" applyBorder="1" applyAlignment="1">
      <alignment vertical="center"/>
    </xf>
    <xf numFmtId="175" fontId="28" fillId="26" borderId="0" xfId="0" applyNumberFormat="1" applyFont="1" applyFill="1" applyAlignment="1">
      <alignment horizontal="left" vertical="center"/>
    </xf>
    <xf numFmtId="4" fontId="27" fillId="26" borderId="16" xfId="0" applyNumberFormat="1" applyFont="1" applyFill="1" applyBorder="1" applyAlignment="1">
      <alignment vertical="center"/>
    </xf>
    <xf numFmtId="4" fontId="27" fillId="26" borderId="0" xfId="0" applyNumberFormat="1" applyFont="1" applyFill="1" applyBorder="1" applyAlignment="1">
      <alignment vertical="center"/>
    </xf>
    <xf numFmtId="4" fontId="27" fillId="26" borderId="0" xfId="0" applyNumberFormat="1" applyFont="1" applyFill="1" applyBorder="1" applyAlignment="1">
      <alignment horizontal="center" vertical="center"/>
    </xf>
    <xf numFmtId="172" fontId="27" fillId="26" borderId="0" xfId="48" applyFont="1" applyFill="1" applyBorder="1" applyAlignment="1">
      <alignment vertical="center" shrinkToFit="1"/>
    </xf>
    <xf numFmtId="175" fontId="28" fillId="26" borderId="0" xfId="0" applyNumberFormat="1" applyFont="1" applyFill="1" applyBorder="1" applyAlignment="1">
      <alignment horizontal="left" vertical="center"/>
    </xf>
    <xf numFmtId="4" fontId="38" fillId="26" borderId="0" xfId="0" applyNumberFormat="1" applyFont="1" applyFill="1" applyBorder="1" applyAlignment="1">
      <alignment vertical="center"/>
    </xf>
    <xf numFmtId="173" fontId="28" fillId="0" borderId="0" xfId="0" applyNumberFormat="1" applyFont="1" applyFill="1" applyBorder="1" applyAlignment="1">
      <alignment vertical="center" shrinkToFit="1"/>
    </xf>
    <xf numFmtId="4" fontId="26" fillId="26" borderId="0" xfId="0" applyNumberFormat="1" applyFont="1" applyFill="1" applyBorder="1" applyAlignment="1">
      <alignment vertical="center"/>
    </xf>
    <xf numFmtId="4" fontId="27" fillId="26" borderId="15" xfId="0" applyNumberFormat="1" applyFont="1" applyFill="1" applyBorder="1" applyAlignment="1">
      <alignment vertical="center"/>
    </xf>
    <xf numFmtId="173" fontId="27" fillId="26" borderId="15" xfId="0" applyNumberFormat="1" applyFont="1" applyFill="1" applyBorder="1" applyAlignment="1">
      <alignment horizontal="center" vertical="center" wrapText="1"/>
    </xf>
    <xf numFmtId="173" fontId="27" fillId="26" borderId="0" xfId="0" applyNumberFormat="1" applyFont="1" applyFill="1" applyBorder="1" applyAlignment="1">
      <alignment vertical="center" wrapText="1"/>
    </xf>
    <xf numFmtId="4" fontId="28" fillId="26" borderId="15" xfId="0" applyNumberFormat="1" applyFont="1" applyFill="1" applyBorder="1" applyAlignment="1">
      <alignment horizontal="center" vertical="center"/>
    </xf>
    <xf numFmtId="172" fontId="28" fillId="26" borderId="12" xfId="48" applyFont="1" applyFill="1" applyBorder="1" applyAlignment="1">
      <alignment horizontal="left" vertical="center"/>
    </xf>
    <xf numFmtId="4" fontId="28" fillId="26" borderId="0" xfId="0" applyNumberFormat="1" applyFont="1" applyFill="1" applyBorder="1" applyAlignment="1">
      <alignment vertical="center"/>
    </xf>
    <xf numFmtId="4" fontId="28" fillId="26" borderId="16" xfId="0" applyNumberFormat="1" applyFont="1" applyFill="1" applyBorder="1" applyAlignment="1">
      <alignment horizontal="center" vertical="center"/>
    </xf>
    <xf numFmtId="4" fontId="28" fillId="26" borderId="16" xfId="0" applyNumberFormat="1" applyFont="1" applyFill="1" applyBorder="1" applyAlignment="1">
      <alignment vertical="center"/>
    </xf>
    <xf numFmtId="4" fontId="36" fillId="27" borderId="14" xfId="0" applyNumberFormat="1" applyFont="1" applyFill="1" applyBorder="1" applyAlignment="1">
      <alignment vertical="center"/>
    </xf>
    <xf numFmtId="4" fontId="36" fillId="27" borderId="16" xfId="0" applyNumberFormat="1" applyFont="1" applyFill="1" applyBorder="1" applyAlignment="1">
      <alignment vertical="center"/>
    </xf>
    <xf numFmtId="4" fontId="36" fillId="27" borderId="12" xfId="0" applyNumberFormat="1" applyFont="1" applyFill="1" applyBorder="1" applyAlignment="1">
      <alignment vertical="center"/>
    </xf>
    <xf numFmtId="4" fontId="36" fillId="26" borderId="0" xfId="0" applyNumberFormat="1" applyFont="1" applyFill="1" applyBorder="1" applyAlignment="1">
      <alignment vertical="center"/>
    </xf>
    <xf numFmtId="172" fontId="28" fillId="0" borderId="22" xfId="48" applyFont="1" applyFill="1" applyBorder="1" applyAlignment="1">
      <alignment vertical="center" shrinkToFit="1"/>
    </xf>
    <xf numFmtId="4" fontId="28" fillId="0" borderId="23" xfId="0" applyNumberFormat="1" applyFont="1" applyFill="1" applyBorder="1" applyAlignment="1">
      <alignment horizontal="center" vertical="center"/>
    </xf>
    <xf numFmtId="183" fontId="28" fillId="0" borderId="14" xfId="121" applyNumberFormat="1" applyFont="1" applyFill="1" applyBorder="1" applyAlignment="1">
      <alignment vertical="center" shrinkToFit="1"/>
    </xf>
    <xf numFmtId="172" fontId="28" fillId="0" borderId="21" xfId="48" applyFont="1" applyFill="1" applyBorder="1" applyAlignment="1">
      <alignment vertical="center" shrinkToFit="1"/>
    </xf>
    <xf numFmtId="4" fontId="28" fillId="0" borderId="6" xfId="0" applyNumberFormat="1" applyFont="1" applyFill="1" applyBorder="1" applyAlignment="1">
      <alignment horizontal="center" vertical="center"/>
    </xf>
    <xf numFmtId="1" fontId="28" fillId="0" borderId="14" xfId="0" applyNumberFormat="1" applyFont="1" applyFill="1" applyBorder="1" applyAlignment="1">
      <alignment vertical="center" shrinkToFit="1"/>
    </xf>
    <xf numFmtId="172" fontId="27" fillId="28" borderId="14" xfId="48" applyFont="1" applyFill="1" applyBorder="1" applyAlignment="1">
      <alignment vertical="center" shrinkToFit="1"/>
    </xf>
    <xf numFmtId="172" fontId="27" fillId="0" borderId="0" xfId="48" applyFont="1" applyFill="1" applyBorder="1" applyAlignment="1">
      <alignment vertical="center" shrinkToFit="1"/>
    </xf>
    <xf numFmtId="172" fontId="28" fillId="0" borderId="14" xfId="48" applyFont="1" applyFill="1" applyBorder="1" applyAlignment="1">
      <alignment vertical="center"/>
    </xf>
    <xf numFmtId="172" fontId="28" fillId="0" borderId="0" xfId="48" applyFont="1" applyFill="1" applyBorder="1" applyAlignment="1">
      <alignment vertical="center" shrinkToFit="1"/>
    </xf>
    <xf numFmtId="3" fontId="28" fillId="0" borderId="14" xfId="0" applyNumberFormat="1" applyFont="1" applyFill="1" applyBorder="1" applyAlignment="1">
      <alignment horizontal="center" vertical="center"/>
    </xf>
    <xf numFmtId="4" fontId="28" fillId="0" borderId="17" xfId="0" applyNumberFormat="1" applyFont="1" applyFill="1" applyBorder="1" applyAlignment="1">
      <alignment vertical="center"/>
    </xf>
    <xf numFmtId="4" fontId="28" fillId="0" borderId="18" xfId="0" applyNumberFormat="1" applyFont="1" applyFill="1" applyBorder="1" applyAlignment="1">
      <alignment horizontal="center" vertical="center"/>
    </xf>
    <xf numFmtId="4" fontId="28" fillId="0" borderId="18" xfId="0" applyNumberFormat="1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horizontal="center" vertical="center"/>
    </xf>
    <xf numFmtId="172" fontId="28" fillId="0" borderId="12" xfId="48" applyFont="1" applyFill="1" applyBorder="1" applyAlignment="1">
      <alignment vertical="center" shrinkToFit="1"/>
    </xf>
    <xf numFmtId="4" fontId="27" fillId="0" borderId="14" xfId="0" applyNumberFormat="1" applyFont="1" applyFill="1" applyBorder="1" applyAlignment="1">
      <alignment horizontal="center" vertical="center"/>
    </xf>
    <xf numFmtId="172" fontId="27" fillId="0" borderId="16" xfId="48" applyFont="1" applyFill="1" applyBorder="1" applyAlignment="1">
      <alignment vertical="center" shrinkToFit="1"/>
    </xf>
    <xf numFmtId="4" fontId="28" fillId="0" borderId="15" xfId="0" applyNumberFormat="1" applyFont="1" applyFill="1" applyBorder="1" applyAlignment="1">
      <alignment vertical="center"/>
    </xf>
    <xf numFmtId="4" fontId="28" fillId="0" borderId="24" xfId="0" applyNumberFormat="1" applyFont="1" applyFill="1" applyBorder="1" applyAlignment="1">
      <alignment vertical="center"/>
    </xf>
    <xf numFmtId="173" fontId="28" fillId="26" borderId="15" xfId="0" applyNumberFormat="1" applyFont="1" applyFill="1" applyBorder="1" applyAlignment="1">
      <alignment horizontal="center" vertical="center"/>
    </xf>
    <xf numFmtId="4" fontId="28" fillId="0" borderId="12" xfId="0" applyNumberFormat="1" applyFont="1" applyFill="1" applyBorder="1" applyAlignment="1">
      <alignment vertical="center"/>
    </xf>
    <xf numFmtId="173" fontId="28" fillId="26" borderId="12" xfId="0" applyNumberFormat="1" applyFont="1" applyFill="1" applyBorder="1" applyAlignment="1">
      <alignment horizontal="center" vertical="center"/>
    </xf>
    <xf numFmtId="4" fontId="28" fillId="16" borderId="0" xfId="0" applyNumberFormat="1" applyFont="1" applyFill="1" applyAlignment="1">
      <alignment horizontal="center" vertical="center"/>
    </xf>
    <xf numFmtId="172" fontId="27" fillId="26" borderId="0" xfId="48" applyFont="1" applyFill="1" applyBorder="1" applyAlignment="1">
      <alignment horizontal="center" vertical="center" shrinkToFit="1"/>
    </xf>
    <xf numFmtId="172" fontId="27" fillId="0" borderId="15" xfId="48" applyFont="1" applyFill="1" applyBorder="1" applyAlignment="1">
      <alignment vertical="center" shrinkToFit="1"/>
    </xf>
    <xf numFmtId="0" fontId="67" fillId="0" borderId="15" xfId="0" applyFont="1" applyFill="1" applyBorder="1" applyAlignment="1">
      <alignment horizontal="center" vertical="top"/>
    </xf>
    <xf numFmtId="0" fontId="28" fillId="0" borderId="14" xfId="0" applyFont="1" applyFill="1" applyBorder="1" applyAlignment="1">
      <alignment vertical="top" wrapText="1"/>
    </xf>
    <xf numFmtId="0" fontId="28" fillId="0" borderId="16" xfId="0" applyFont="1" applyFill="1" applyBorder="1" applyAlignment="1">
      <alignment vertical="top" wrapText="1"/>
    </xf>
    <xf numFmtId="0" fontId="28" fillId="0" borderId="12" xfId="0" applyFont="1" applyFill="1" applyBorder="1" applyAlignment="1">
      <alignment vertical="top" wrapText="1"/>
    </xf>
    <xf numFmtId="0" fontId="28" fillId="0" borderId="15" xfId="0" applyFont="1" applyFill="1" applyBorder="1" applyAlignment="1">
      <alignment horizontal="center" vertical="top" wrapText="1"/>
    </xf>
    <xf numFmtId="171" fontId="28" fillId="26" borderId="16" xfId="121" applyFont="1" applyFill="1" applyBorder="1" applyAlignment="1">
      <alignment/>
    </xf>
    <xf numFmtId="171" fontId="39" fillId="26" borderId="16" xfId="121" applyFont="1" applyFill="1" applyBorder="1" applyAlignment="1">
      <alignment/>
    </xf>
    <xf numFmtId="171" fontId="28" fillId="0" borderId="16" xfId="121" applyFont="1" applyFill="1" applyBorder="1" applyAlignment="1">
      <alignment/>
    </xf>
    <xf numFmtId="171" fontId="39" fillId="0" borderId="16" xfId="121" applyFont="1" applyFill="1" applyBorder="1" applyAlignment="1">
      <alignment/>
    </xf>
    <xf numFmtId="173" fontId="28" fillId="0" borderId="15" xfId="0" applyNumberFormat="1" applyFont="1" applyFill="1" applyBorder="1" applyAlignment="1">
      <alignment horizontal="center" vertical="center"/>
    </xf>
    <xf numFmtId="4" fontId="36" fillId="0" borderId="14" xfId="0" applyNumberFormat="1" applyFont="1" applyFill="1" applyBorder="1" applyAlignment="1">
      <alignment vertical="center"/>
    </xf>
    <xf numFmtId="173" fontId="28" fillId="0" borderId="12" xfId="0" applyNumberFormat="1" applyFont="1" applyFill="1" applyBorder="1" applyAlignment="1">
      <alignment vertical="center" shrinkToFit="1"/>
    </xf>
    <xf numFmtId="4" fontId="28" fillId="0" borderId="22" xfId="0" applyNumberFormat="1" applyFont="1" applyFill="1" applyBorder="1" applyAlignment="1">
      <alignment vertical="center"/>
    </xf>
    <xf numFmtId="4" fontId="28" fillId="0" borderId="24" xfId="0" applyNumberFormat="1" applyFont="1" applyFill="1" applyBorder="1" applyAlignment="1">
      <alignment horizontal="center" vertical="center"/>
    </xf>
    <xf numFmtId="172" fontId="28" fillId="0" borderId="13" xfId="48" applyFont="1" applyFill="1" applyBorder="1" applyAlignment="1">
      <alignment vertical="center" shrinkToFit="1"/>
    </xf>
    <xf numFmtId="172" fontId="28" fillId="0" borderId="15" xfId="48" applyFont="1" applyFill="1" applyBorder="1" applyAlignment="1">
      <alignment vertical="center" shrinkToFit="1"/>
    </xf>
    <xf numFmtId="172" fontId="28" fillId="0" borderId="25" xfId="48" applyFont="1" applyFill="1" applyBorder="1" applyAlignment="1">
      <alignment vertical="center" shrinkToFit="1"/>
    </xf>
    <xf numFmtId="4" fontId="27" fillId="26" borderId="12" xfId="0" applyNumberFormat="1" applyFont="1" applyFill="1" applyBorder="1" applyAlignment="1">
      <alignment horizontal="center" vertical="center"/>
    </xf>
    <xf numFmtId="172" fontId="27" fillId="28" borderId="15" xfId="48" applyFont="1" applyFill="1" applyBorder="1" applyAlignment="1">
      <alignment vertical="center" shrinkToFit="1"/>
    </xf>
    <xf numFmtId="4" fontId="28" fillId="26" borderId="0" xfId="0" applyNumberFormat="1" applyFont="1" applyFill="1" applyBorder="1" applyAlignment="1">
      <alignment horizontal="center" vertical="center"/>
    </xf>
    <xf numFmtId="173" fontId="28" fillId="26" borderId="0" xfId="0" applyNumberFormat="1" applyFont="1" applyFill="1" applyBorder="1" applyAlignment="1">
      <alignment vertical="center" shrinkToFit="1"/>
    </xf>
    <xf numFmtId="175" fontId="27" fillId="26" borderId="0" xfId="0" applyNumberFormat="1" applyFont="1" applyFill="1" applyBorder="1" applyAlignment="1">
      <alignment horizontal="left" vertical="center"/>
    </xf>
    <xf numFmtId="4" fontId="27" fillId="0" borderId="0" xfId="0" applyNumberFormat="1" applyFont="1" applyFill="1" applyAlignment="1">
      <alignment vertical="center"/>
    </xf>
    <xf numFmtId="176" fontId="28" fillId="0" borderId="0" xfId="0" applyNumberFormat="1" applyFont="1" applyFill="1" applyBorder="1" applyAlignment="1">
      <alignment vertical="center" wrapText="1"/>
    </xf>
    <xf numFmtId="4" fontId="27" fillId="0" borderId="12" xfId="0" applyNumberFormat="1" applyFont="1" applyFill="1" applyBorder="1" applyAlignment="1">
      <alignment vertical="center"/>
    </xf>
    <xf numFmtId="198" fontId="28" fillId="0" borderId="16" xfId="0" applyNumberFormat="1" applyFont="1" applyFill="1" applyBorder="1" applyAlignment="1">
      <alignment vertical="center"/>
    </xf>
    <xf numFmtId="171" fontId="27" fillId="26" borderId="15" xfId="121" applyFont="1" applyFill="1" applyBorder="1" applyAlignment="1">
      <alignment vertical="center"/>
    </xf>
    <xf numFmtId="171" fontId="28" fillId="0" borderId="15" xfId="121" applyFont="1" applyFill="1" applyBorder="1" applyAlignment="1">
      <alignment vertical="center"/>
    </xf>
    <xf numFmtId="172" fontId="27" fillId="28" borderId="15" xfId="48" applyFont="1" applyFill="1" applyBorder="1" applyAlignment="1">
      <alignment horizontal="center" vertical="center" shrinkToFit="1"/>
    </xf>
    <xf numFmtId="172" fontId="28" fillId="26" borderId="15" xfId="48" applyFont="1" applyFill="1" applyBorder="1" applyAlignment="1">
      <alignment horizontal="center" vertical="center"/>
    </xf>
    <xf numFmtId="4" fontId="36" fillId="0" borderId="21" xfId="0" applyNumberFormat="1" applyFont="1" applyFill="1" applyBorder="1" applyAlignment="1">
      <alignment vertical="center"/>
    </xf>
    <xf numFmtId="4" fontId="28" fillId="0" borderId="21" xfId="0" applyNumberFormat="1" applyFont="1" applyFill="1" applyBorder="1" applyAlignment="1">
      <alignment horizontal="center" vertical="center"/>
    </xf>
    <xf numFmtId="4" fontId="27" fillId="26" borderId="24" xfId="0" applyNumberFormat="1" applyFont="1" applyFill="1" applyBorder="1" applyAlignment="1">
      <alignment vertical="center"/>
    </xf>
    <xf numFmtId="4" fontId="27" fillId="26" borderId="24" xfId="0" applyNumberFormat="1" applyFont="1" applyFill="1" applyBorder="1" applyAlignment="1">
      <alignment horizontal="center" vertical="center"/>
    </xf>
    <xf numFmtId="172" fontId="27" fillId="28" borderId="24" xfId="48" applyFont="1" applyFill="1" applyBorder="1" applyAlignment="1">
      <alignment vertical="center" shrinkToFit="1"/>
    </xf>
    <xf numFmtId="175" fontId="28" fillId="0" borderId="0" xfId="0" applyNumberFormat="1" applyFont="1" applyFill="1" applyBorder="1" applyAlignment="1">
      <alignment horizontal="left" vertical="center"/>
    </xf>
    <xf numFmtId="172" fontId="27" fillId="0" borderId="0" xfId="48" applyFont="1" applyFill="1" applyBorder="1" applyAlignment="1">
      <alignment horizontal="center" vertical="center" shrinkToFit="1"/>
    </xf>
    <xf numFmtId="4" fontId="27" fillId="0" borderId="15" xfId="0" applyNumberFormat="1" applyFont="1" applyFill="1" applyBorder="1" applyAlignment="1">
      <alignment vertical="center"/>
    </xf>
    <xf numFmtId="0" fontId="68" fillId="26" borderId="15" xfId="0" applyFont="1" applyFill="1" applyBorder="1" applyAlignment="1">
      <alignment horizontal="center" vertical="center"/>
    </xf>
    <xf numFmtId="0" fontId="69" fillId="0" borderId="14" xfId="72" applyFont="1" applyBorder="1" applyAlignment="1">
      <alignment vertical="center"/>
      <protection/>
    </xf>
    <xf numFmtId="0" fontId="69" fillId="0" borderId="16" xfId="75" applyFont="1" applyBorder="1" applyAlignment="1">
      <alignment/>
      <protection/>
    </xf>
    <xf numFmtId="0" fontId="69" fillId="0" borderId="12" xfId="75" applyFont="1" applyBorder="1" applyAlignment="1">
      <alignment/>
      <protection/>
    </xf>
    <xf numFmtId="4" fontId="28" fillId="0" borderId="15" xfId="0" applyNumberFormat="1" applyFont="1" applyFill="1" applyBorder="1" applyAlignment="1">
      <alignment horizontal="right" vertical="center"/>
    </xf>
    <xf numFmtId="172" fontId="27" fillId="28" borderId="0" xfId="48" applyFont="1" applyFill="1" applyBorder="1" applyAlignment="1">
      <alignment horizontal="center" vertical="center" shrinkToFit="1"/>
    </xf>
    <xf numFmtId="4" fontId="70" fillId="0" borderId="0" xfId="0" applyNumberFormat="1" applyFont="1" applyFill="1" applyAlignment="1">
      <alignment vertical="center" wrapText="1"/>
    </xf>
    <xf numFmtId="4" fontId="31" fillId="0" borderId="0" xfId="0" applyNumberFormat="1" applyFont="1" applyFill="1" applyBorder="1" applyAlignment="1">
      <alignment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10" fontId="28" fillId="0" borderId="0" xfId="0" applyNumberFormat="1" applyFont="1" applyFill="1" applyBorder="1" applyAlignment="1">
      <alignment vertical="center"/>
    </xf>
    <xf numFmtId="4" fontId="28" fillId="0" borderId="0" xfId="0" applyNumberFormat="1" applyFont="1" applyFill="1" applyAlignment="1" quotePrefix="1">
      <alignment horizontal="center" vertical="center"/>
    </xf>
    <xf numFmtId="4" fontId="28" fillId="0" borderId="0" xfId="0" applyNumberFormat="1" applyFont="1" applyFill="1" applyBorder="1" applyAlignment="1">
      <alignment horizontal="center" vertical="center" wrapText="1"/>
    </xf>
    <xf numFmtId="190" fontId="27" fillId="0" borderId="24" xfId="0" applyNumberFormat="1" applyFont="1" applyFill="1" applyBorder="1" applyAlignment="1">
      <alignment vertical="center"/>
    </xf>
    <xf numFmtId="190" fontId="27" fillId="0" borderId="0" xfId="0" applyNumberFormat="1" applyFont="1" applyFill="1" applyBorder="1" applyAlignment="1">
      <alignment vertical="center"/>
    </xf>
    <xf numFmtId="3" fontId="28" fillId="0" borderId="12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left" vertical="center"/>
    </xf>
    <xf numFmtId="4" fontId="28" fillId="0" borderId="21" xfId="0" applyNumberFormat="1" applyFont="1" applyFill="1" applyBorder="1" applyAlignment="1">
      <alignment horizontal="left" vertical="center"/>
    </xf>
    <xf numFmtId="3" fontId="28" fillId="0" borderId="6" xfId="0" applyNumberFormat="1" applyFont="1" applyFill="1" applyBorder="1" applyAlignment="1">
      <alignment horizontal="center" vertical="center"/>
    </xf>
    <xf numFmtId="4" fontId="38" fillId="0" borderId="0" xfId="0" applyNumberFormat="1" applyFont="1" applyFill="1" applyAlignment="1">
      <alignment vertical="center"/>
    </xf>
    <xf numFmtId="4" fontId="39" fillId="0" borderId="0" xfId="0" applyNumberFormat="1" applyFont="1" applyFill="1" applyAlignment="1">
      <alignment horizontal="center" vertical="center"/>
    </xf>
    <xf numFmtId="4" fontId="39" fillId="0" borderId="0" xfId="0" applyNumberFormat="1" applyFont="1" applyFill="1" applyAlignment="1">
      <alignment vertical="center"/>
    </xf>
    <xf numFmtId="172" fontId="71" fillId="0" borderId="0" xfId="48" applyFont="1" applyFill="1" applyBorder="1" applyAlignment="1">
      <alignment vertical="center" shrinkToFit="1"/>
    </xf>
    <xf numFmtId="4" fontId="71" fillId="27" borderId="14" xfId="0" applyNumberFormat="1" applyFont="1" applyFill="1" applyBorder="1" applyAlignment="1">
      <alignment vertical="center"/>
    </xf>
    <xf numFmtId="4" fontId="72" fillId="27" borderId="16" xfId="0" applyNumberFormat="1" applyFont="1" applyFill="1" applyBorder="1" applyAlignment="1">
      <alignment horizontal="center" vertical="center"/>
    </xf>
    <xf numFmtId="4" fontId="72" fillId="27" borderId="16" xfId="0" applyNumberFormat="1" applyFont="1" applyFill="1" applyBorder="1" applyAlignment="1">
      <alignment vertical="center"/>
    </xf>
    <xf numFmtId="4" fontId="72" fillId="27" borderId="12" xfId="0" applyNumberFormat="1" applyFont="1" applyFill="1" applyBorder="1" applyAlignment="1">
      <alignment vertical="center"/>
    </xf>
    <xf numFmtId="177" fontId="28" fillId="0" borderId="0" xfId="0" applyNumberFormat="1" applyFont="1" applyFill="1" applyBorder="1" applyAlignment="1">
      <alignment vertical="center"/>
    </xf>
    <xf numFmtId="10" fontId="28" fillId="0" borderId="0" xfId="0" applyNumberFormat="1" applyFont="1" applyFill="1" applyBorder="1" applyAlignment="1">
      <alignment horizontal="right" vertical="center"/>
    </xf>
    <xf numFmtId="174" fontId="28" fillId="0" borderId="0" xfId="0" applyNumberFormat="1" applyFont="1" applyFill="1" applyBorder="1" applyAlignment="1">
      <alignment horizontal="right" vertical="center"/>
    </xf>
    <xf numFmtId="10" fontId="27" fillId="0" borderId="16" xfId="0" applyNumberFormat="1" applyFont="1" applyFill="1" applyBorder="1" applyAlignment="1">
      <alignment vertical="center"/>
    </xf>
    <xf numFmtId="173" fontId="28" fillId="27" borderId="16" xfId="0" applyNumberFormat="1" applyFont="1" applyFill="1" applyBorder="1" applyAlignment="1">
      <alignment vertical="center"/>
    </xf>
    <xf numFmtId="4" fontId="27" fillId="0" borderId="21" xfId="0" applyNumberFormat="1" applyFont="1" applyFill="1" applyBorder="1" applyAlignment="1">
      <alignment vertical="center"/>
    </xf>
    <xf numFmtId="172" fontId="27" fillId="0" borderId="6" xfId="48" applyFont="1" applyFill="1" applyBorder="1" applyAlignment="1">
      <alignment vertical="center"/>
    </xf>
    <xf numFmtId="4" fontId="28" fillId="26" borderId="14" xfId="0" applyNumberFormat="1" applyFont="1" applyFill="1" applyBorder="1" applyAlignment="1">
      <alignment vertical="center"/>
    </xf>
    <xf numFmtId="181" fontId="28" fillId="26" borderId="16" xfId="0" applyNumberFormat="1" applyFont="1" applyFill="1" applyBorder="1" applyAlignment="1">
      <alignment vertical="center"/>
    </xf>
    <xf numFmtId="173" fontId="28" fillId="26" borderId="16" xfId="0" applyNumberFormat="1" applyFont="1" applyFill="1" applyBorder="1" applyAlignment="1">
      <alignment vertical="center"/>
    </xf>
    <xf numFmtId="172" fontId="28" fillId="26" borderId="12" xfId="48" applyFont="1" applyFill="1" applyBorder="1" applyAlignment="1">
      <alignment vertical="center"/>
    </xf>
    <xf numFmtId="172" fontId="71" fillId="27" borderId="12" xfId="48" applyFont="1" applyFill="1" applyBorder="1" applyAlignment="1">
      <alignment vertical="center" shrinkToFit="1"/>
    </xf>
    <xf numFmtId="172" fontId="71" fillId="27" borderId="0" xfId="48" applyFont="1" applyFill="1" applyBorder="1" applyAlignment="1">
      <alignment vertical="center" shrinkToFit="1"/>
    </xf>
    <xf numFmtId="1" fontId="28" fillId="26" borderId="16" xfId="0" applyNumberFormat="1" applyFont="1" applyFill="1" applyBorder="1" applyAlignment="1">
      <alignment vertical="center"/>
    </xf>
    <xf numFmtId="177" fontId="28" fillId="26" borderId="16" xfId="0" applyNumberFormat="1" applyFont="1" applyFill="1" applyBorder="1" applyAlignment="1">
      <alignment vertical="center"/>
    </xf>
    <xf numFmtId="4" fontId="28" fillId="26" borderId="21" xfId="0" applyNumberFormat="1" applyFont="1" applyFill="1" applyBorder="1" applyAlignment="1">
      <alignment vertical="center"/>
    </xf>
    <xf numFmtId="10" fontId="28" fillId="26" borderId="0" xfId="0" applyNumberFormat="1" applyFont="1" applyFill="1" applyBorder="1" applyAlignment="1">
      <alignment horizontal="right" vertical="center"/>
    </xf>
    <xf numFmtId="177" fontId="28" fillId="26" borderId="0" xfId="0" applyNumberFormat="1" applyFont="1" applyFill="1" applyBorder="1" applyAlignment="1">
      <alignment vertical="center"/>
    </xf>
    <xf numFmtId="172" fontId="28" fillId="26" borderId="6" xfId="48" applyFont="1" applyFill="1" applyBorder="1" applyAlignment="1">
      <alignment vertical="center"/>
    </xf>
    <xf numFmtId="174" fontId="28" fillId="26" borderId="0" xfId="0" applyNumberFormat="1" applyFont="1" applyFill="1" applyBorder="1" applyAlignment="1">
      <alignment horizontal="right" vertical="center"/>
    </xf>
    <xf numFmtId="174" fontId="28" fillId="26" borderId="16" xfId="0" applyNumberFormat="1" applyFont="1" applyFill="1" applyBorder="1" applyAlignment="1">
      <alignment horizontal="right" vertical="center"/>
    </xf>
    <xf numFmtId="10" fontId="28" fillId="26" borderId="0" xfId="0" applyNumberFormat="1" applyFont="1" applyFill="1" applyBorder="1" applyAlignment="1">
      <alignment vertical="center"/>
    </xf>
    <xf numFmtId="173" fontId="28" fillId="27" borderId="0" xfId="0" applyNumberFormat="1" applyFont="1" applyFill="1" applyBorder="1" applyAlignment="1">
      <alignment vertical="center"/>
    </xf>
    <xf numFmtId="10" fontId="28" fillId="26" borderId="16" xfId="0" applyNumberFormat="1" applyFont="1" applyFill="1" applyBorder="1" applyAlignment="1">
      <alignment vertical="center"/>
    </xf>
    <xf numFmtId="172" fontId="27" fillId="26" borderId="12" xfId="48" applyFont="1" applyFill="1" applyBorder="1" applyAlignment="1">
      <alignment vertical="center"/>
    </xf>
    <xf numFmtId="1" fontId="28" fillId="26" borderId="0" xfId="0" applyNumberFormat="1" applyFont="1" applyFill="1" applyBorder="1" applyAlignment="1">
      <alignment vertical="center"/>
    </xf>
    <xf numFmtId="173" fontId="28" fillId="26" borderId="0" xfId="0" applyNumberFormat="1" applyFont="1" applyFill="1" applyBorder="1" applyAlignment="1">
      <alignment vertical="center"/>
    </xf>
    <xf numFmtId="181" fontId="28" fillId="0" borderId="0" xfId="0" applyNumberFormat="1" applyFont="1" applyFill="1" applyBorder="1" applyAlignment="1">
      <alignment vertical="center"/>
    </xf>
    <xf numFmtId="1" fontId="28" fillId="0" borderId="24" xfId="0" applyNumberFormat="1" applyFont="1" applyFill="1" applyBorder="1" applyAlignment="1">
      <alignment vertical="center"/>
    </xf>
    <xf numFmtId="177" fontId="28" fillId="0" borderId="24" xfId="0" applyNumberFormat="1" applyFont="1" applyFill="1" applyBorder="1" applyAlignment="1">
      <alignment vertical="center"/>
    </xf>
    <xf numFmtId="172" fontId="28" fillId="0" borderId="23" xfId="48" applyFont="1" applyFill="1" applyBorder="1" applyAlignment="1">
      <alignment vertical="center"/>
    </xf>
    <xf numFmtId="4" fontId="27" fillId="27" borderId="14" xfId="0" applyNumberFormat="1" applyFont="1" applyFill="1" applyBorder="1" applyAlignment="1">
      <alignment horizontal="center" vertical="center"/>
    </xf>
    <xf numFmtId="4" fontId="27" fillId="27" borderId="15" xfId="0" applyNumberFormat="1" applyFont="1" applyFill="1" applyBorder="1" applyAlignment="1">
      <alignment horizontal="center" vertical="center"/>
    </xf>
    <xf numFmtId="4" fontId="28" fillId="0" borderId="22" xfId="0" applyNumberFormat="1" applyFont="1" applyFill="1" applyBorder="1" applyAlignment="1">
      <alignment horizontal="center" vertical="center"/>
    </xf>
    <xf numFmtId="4" fontId="28" fillId="26" borderId="18" xfId="0" applyNumberFormat="1" applyFont="1" applyFill="1" applyBorder="1" applyAlignment="1">
      <alignment vertical="center"/>
    </xf>
    <xf numFmtId="172" fontId="27" fillId="27" borderId="15" xfId="48" applyFont="1" applyFill="1" applyBorder="1" applyAlignment="1">
      <alignment vertical="center"/>
    </xf>
    <xf numFmtId="4" fontId="27" fillId="26" borderId="0" xfId="0" applyNumberFormat="1" applyFont="1" applyFill="1" applyAlignment="1">
      <alignment vertical="center"/>
    </xf>
    <xf numFmtId="4" fontId="38" fillId="0" borderId="0" xfId="0" applyNumberFormat="1" applyFont="1" applyFill="1" applyBorder="1" applyAlignment="1">
      <alignment vertical="center"/>
    </xf>
    <xf numFmtId="4" fontId="28" fillId="26" borderId="14" xfId="0" applyNumberFormat="1" applyFont="1" applyFill="1" applyBorder="1" applyAlignment="1">
      <alignment horizontal="left" vertical="center"/>
    </xf>
    <xf numFmtId="4" fontId="28" fillId="26" borderId="12" xfId="0" applyNumberFormat="1" applyFont="1" applyFill="1" applyBorder="1" applyAlignment="1">
      <alignment horizontal="left" vertical="center"/>
    </xf>
    <xf numFmtId="172" fontId="27" fillId="0" borderId="12" xfId="48" applyFont="1" applyFill="1" applyBorder="1" applyAlignment="1">
      <alignment vertical="center" shrinkToFit="1"/>
    </xf>
    <xf numFmtId="172" fontId="28" fillId="0" borderId="16" xfId="48" applyFont="1" applyFill="1" applyBorder="1" applyAlignment="1">
      <alignment vertical="center"/>
    </xf>
    <xf numFmtId="172" fontId="28" fillId="26" borderId="16" xfId="48" applyFont="1" applyFill="1" applyBorder="1" applyAlignment="1">
      <alignment vertical="center"/>
    </xf>
    <xf numFmtId="4" fontId="28" fillId="29" borderId="0" xfId="0" applyNumberFormat="1" applyFont="1" applyFill="1" applyAlignment="1">
      <alignment horizontal="center" vertical="center"/>
    </xf>
    <xf numFmtId="172" fontId="28" fillId="26" borderId="0" xfId="48" applyFont="1" applyFill="1" applyBorder="1" applyAlignment="1">
      <alignment vertical="center"/>
    </xf>
    <xf numFmtId="172" fontId="27" fillId="26" borderId="15" xfId="48" applyFont="1" applyFill="1" applyBorder="1" applyAlignment="1">
      <alignment vertical="center" shrinkToFit="1"/>
    </xf>
    <xf numFmtId="172" fontId="27" fillId="0" borderId="15" xfId="48" applyFont="1" applyFill="1" applyBorder="1" applyAlignment="1">
      <alignment vertical="center"/>
    </xf>
    <xf numFmtId="172" fontId="27" fillId="26" borderId="0" xfId="48" applyFont="1" applyFill="1" applyAlignment="1">
      <alignment vertical="center"/>
    </xf>
    <xf numFmtId="4" fontId="41" fillId="0" borderId="0" xfId="0" applyNumberFormat="1" applyFont="1" applyAlignment="1">
      <alignment vertical="center"/>
    </xf>
    <xf numFmtId="4" fontId="41" fillId="26" borderId="0" xfId="0" applyNumberFormat="1" applyFont="1" applyFill="1" applyAlignment="1">
      <alignment vertical="center"/>
    </xf>
    <xf numFmtId="4" fontId="42" fillId="26" borderId="14" xfId="0" applyNumberFormat="1" applyFont="1" applyFill="1" applyBorder="1" applyAlignment="1">
      <alignment vertical="center" wrapText="1"/>
    </xf>
    <xf numFmtId="4" fontId="42" fillId="26" borderId="12" xfId="0" applyNumberFormat="1" applyFont="1" applyFill="1" applyBorder="1" applyAlignment="1">
      <alignment vertical="center" wrapText="1"/>
    </xf>
    <xf numFmtId="175" fontId="29" fillId="26" borderId="14" xfId="0" applyNumberFormat="1" applyFont="1" applyFill="1" applyBorder="1" applyAlignment="1">
      <alignment horizontal="left" vertical="center"/>
    </xf>
    <xf numFmtId="4" fontId="41" fillId="26" borderId="12" xfId="0" applyNumberFormat="1" applyFont="1" applyFill="1" applyBorder="1" applyAlignment="1">
      <alignment vertical="center"/>
    </xf>
    <xf numFmtId="4" fontId="41" fillId="26" borderId="14" xfId="0" applyNumberFormat="1" applyFont="1" applyFill="1" applyBorder="1" applyAlignment="1">
      <alignment horizontal="left" vertical="center"/>
    </xf>
    <xf numFmtId="10" fontId="41" fillId="26" borderId="12" xfId="0" applyNumberFormat="1" applyFont="1" applyFill="1" applyBorder="1" applyAlignment="1">
      <alignment horizontal="right" vertical="center"/>
    </xf>
    <xf numFmtId="4" fontId="41" fillId="26" borderId="22" xfId="0" applyNumberFormat="1" applyFont="1" applyFill="1" applyBorder="1" applyAlignment="1">
      <alignment horizontal="left" vertical="center"/>
    </xf>
    <xf numFmtId="10" fontId="41" fillId="26" borderId="23" xfId="0" applyNumberFormat="1" applyFont="1" applyFill="1" applyBorder="1" applyAlignment="1">
      <alignment horizontal="right" vertical="center"/>
    </xf>
    <xf numFmtId="4" fontId="29" fillId="26" borderId="14" xfId="0" applyNumberFormat="1" applyFont="1" applyFill="1" applyBorder="1" applyAlignment="1">
      <alignment vertical="center"/>
    </xf>
    <xf numFmtId="10" fontId="29" fillId="26" borderId="12" xfId="0" applyNumberFormat="1" applyFont="1" applyFill="1" applyBorder="1" applyAlignment="1">
      <alignment horizontal="right" vertical="center"/>
    </xf>
    <xf numFmtId="4" fontId="29" fillId="26" borderId="21" xfId="0" applyNumberFormat="1" applyFont="1" applyFill="1" applyBorder="1" applyAlignment="1">
      <alignment vertical="center"/>
    </xf>
    <xf numFmtId="10" fontId="29" fillId="26" borderId="6" xfId="0" applyNumberFormat="1" applyFont="1" applyFill="1" applyBorder="1" applyAlignment="1">
      <alignment horizontal="right" vertical="center"/>
    </xf>
    <xf numFmtId="4" fontId="41" fillId="26" borderId="21" xfId="0" applyNumberFormat="1" applyFont="1" applyFill="1" applyBorder="1" applyAlignment="1">
      <alignment horizontal="left" vertical="center"/>
    </xf>
    <xf numFmtId="10" fontId="41" fillId="26" borderId="6" xfId="0" applyNumberFormat="1" applyFont="1" applyFill="1" applyBorder="1" applyAlignment="1">
      <alignment horizontal="right" vertical="center"/>
    </xf>
    <xf numFmtId="4" fontId="41" fillId="26" borderId="6" xfId="0" applyNumberFormat="1" applyFont="1" applyFill="1" applyBorder="1" applyAlignment="1">
      <alignment vertical="center"/>
    </xf>
    <xf numFmtId="4" fontId="41" fillId="26" borderId="14" xfId="0" applyNumberFormat="1" applyFont="1" applyFill="1" applyBorder="1" applyAlignment="1">
      <alignment vertical="center"/>
    </xf>
    <xf numFmtId="4" fontId="41" fillId="26" borderId="21" xfId="0" applyNumberFormat="1" applyFont="1" applyFill="1" applyBorder="1" applyAlignment="1">
      <alignment vertical="center"/>
    </xf>
    <xf numFmtId="10" fontId="29" fillId="26" borderId="12" xfId="0" applyNumberFormat="1" applyFont="1" applyFill="1" applyBorder="1" applyAlignment="1">
      <alignment vertical="center"/>
    </xf>
    <xf numFmtId="4" fontId="43" fillId="26" borderId="0" xfId="0" applyNumberFormat="1" applyFont="1" applyFill="1" applyAlignment="1">
      <alignment vertical="center"/>
    </xf>
    <xf numFmtId="4" fontId="41" fillId="26" borderId="14" xfId="0" applyNumberFormat="1" applyFont="1" applyFill="1" applyBorder="1" applyAlignment="1">
      <alignment horizontal="left" vertical="center" wrapText="1"/>
    </xf>
    <xf numFmtId="0" fontId="28" fillId="0" borderId="0" xfId="0" applyFont="1" applyAlignment="1">
      <alignment/>
    </xf>
    <xf numFmtId="0" fontId="73" fillId="26" borderId="26" xfId="0" applyFont="1" applyFill="1" applyBorder="1" applyAlignment="1">
      <alignment horizontal="left" vertical="top"/>
    </xf>
    <xf numFmtId="10" fontId="73" fillId="26" borderId="27" xfId="91" applyNumberFormat="1" applyFont="1" applyFill="1" applyBorder="1" applyAlignment="1">
      <alignment horizontal="center" vertical="center"/>
    </xf>
    <xf numFmtId="187" fontId="74" fillId="26" borderId="0" xfId="0" applyNumberFormat="1" applyFont="1" applyFill="1" applyBorder="1" applyAlignment="1">
      <alignment vertical="top"/>
    </xf>
    <xf numFmtId="0" fontId="73" fillId="26" borderId="26" xfId="0" applyFont="1" applyFill="1" applyBorder="1" applyAlignment="1">
      <alignment vertical="top"/>
    </xf>
    <xf numFmtId="10" fontId="73" fillId="26" borderId="28" xfId="91" applyNumberFormat="1" applyFont="1" applyFill="1" applyBorder="1" applyAlignment="1">
      <alignment horizontal="center" vertical="top"/>
    </xf>
    <xf numFmtId="10" fontId="73" fillId="26" borderId="29" xfId="91" applyNumberFormat="1" applyFont="1" applyFill="1" applyBorder="1" applyAlignment="1">
      <alignment horizontal="center" vertical="top"/>
    </xf>
    <xf numFmtId="0" fontId="73" fillId="26" borderId="30" xfId="0" applyFont="1" applyFill="1" applyBorder="1" applyAlignment="1">
      <alignment horizontal="left" vertical="top"/>
    </xf>
    <xf numFmtId="10" fontId="73" fillId="26" borderId="27" xfId="91" applyNumberFormat="1" applyFont="1" applyFill="1" applyBorder="1" applyAlignment="1">
      <alignment horizontal="center" vertical="top"/>
    </xf>
    <xf numFmtId="0" fontId="74" fillId="0" borderId="0" xfId="0" applyFont="1" applyFill="1" applyBorder="1" applyAlignment="1">
      <alignment horizontal="left" vertical="top"/>
    </xf>
    <xf numFmtId="0" fontId="73" fillId="0" borderId="31" xfId="0" applyFont="1" applyFill="1" applyBorder="1" applyAlignment="1">
      <alignment horizontal="left" vertical="top"/>
    </xf>
    <xf numFmtId="10" fontId="73" fillId="0" borderId="27" xfId="91" applyNumberFormat="1" applyFont="1" applyFill="1" applyBorder="1" applyAlignment="1">
      <alignment horizontal="center" vertical="center"/>
    </xf>
    <xf numFmtId="0" fontId="73" fillId="0" borderId="32" xfId="0" applyFont="1" applyFill="1" applyBorder="1" applyAlignment="1">
      <alignment horizontal="left" vertical="center"/>
    </xf>
    <xf numFmtId="0" fontId="73" fillId="0" borderId="33" xfId="0" applyFont="1" applyFill="1" applyBorder="1" applyAlignment="1">
      <alignment horizontal="left" vertical="center"/>
    </xf>
    <xf numFmtId="10" fontId="73" fillId="0" borderId="34" xfId="91" applyNumberFormat="1" applyFont="1" applyFill="1" applyBorder="1" applyAlignment="1">
      <alignment horizontal="center" vertical="center"/>
    </xf>
    <xf numFmtId="0" fontId="75" fillId="0" borderId="26" xfId="0" applyFont="1" applyFill="1" applyBorder="1" applyAlignment="1">
      <alignment vertical="center"/>
    </xf>
    <xf numFmtId="10" fontId="33" fillId="0" borderId="28" xfId="91" applyNumberFormat="1" applyFont="1" applyFill="1" applyBorder="1" applyAlignment="1">
      <alignment horizontal="center" vertical="center"/>
    </xf>
    <xf numFmtId="0" fontId="75" fillId="26" borderId="26" xfId="0" applyFont="1" applyFill="1" applyBorder="1" applyAlignment="1">
      <alignment vertical="center"/>
    </xf>
    <xf numFmtId="0" fontId="75" fillId="26" borderId="27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left" vertical="top"/>
    </xf>
    <xf numFmtId="0" fontId="76" fillId="0" borderId="0" xfId="0" applyFont="1" applyFill="1" applyBorder="1" applyAlignment="1">
      <alignment horizontal="center" vertical="top"/>
    </xf>
    <xf numFmtId="4" fontId="39" fillId="0" borderId="0" xfId="0" applyNumberFormat="1" applyFont="1" applyAlignment="1">
      <alignment vertical="center"/>
    </xf>
    <xf numFmtId="4" fontId="39" fillId="0" borderId="0" xfId="0" applyNumberFormat="1" applyFont="1" applyAlignment="1">
      <alignment horizontal="center" vertical="center"/>
    </xf>
    <xf numFmtId="4" fontId="26" fillId="0" borderId="12" xfId="0" applyNumberFormat="1" applyFont="1" applyBorder="1" applyAlignment="1">
      <alignment horizontal="center" vertical="center"/>
    </xf>
    <xf numFmtId="4" fontId="26" fillId="0" borderId="0" xfId="0" applyNumberFormat="1" applyFont="1" applyAlignment="1">
      <alignment vertical="center"/>
    </xf>
    <xf numFmtId="4" fontId="26" fillId="0" borderId="0" xfId="0" applyNumberFormat="1" applyFont="1" applyFill="1" applyAlignment="1">
      <alignment vertical="center"/>
    </xf>
    <xf numFmtId="4" fontId="39" fillId="0" borderId="14" xfId="0" applyNumberFormat="1" applyFont="1" applyBorder="1" applyAlignment="1">
      <alignment vertical="center"/>
    </xf>
    <xf numFmtId="4" fontId="26" fillId="0" borderId="14" xfId="0" applyNumberFormat="1" applyFont="1" applyFill="1" applyBorder="1" applyAlignment="1">
      <alignment horizontal="center" vertical="center"/>
    </xf>
    <xf numFmtId="173" fontId="26" fillId="0" borderId="15" xfId="0" applyNumberFormat="1" applyFont="1" applyFill="1" applyBorder="1" applyAlignment="1">
      <alignment horizontal="center" vertical="center"/>
    </xf>
    <xf numFmtId="4" fontId="39" fillId="0" borderId="0" xfId="0" applyNumberFormat="1" applyFont="1" applyBorder="1" applyAlignment="1">
      <alignment vertical="center"/>
    </xf>
    <xf numFmtId="4" fontId="39" fillId="0" borderId="14" xfId="0" applyNumberFormat="1" applyFont="1" applyFill="1" applyBorder="1" applyAlignment="1">
      <alignment vertical="center"/>
    </xf>
    <xf numFmtId="173" fontId="39" fillId="0" borderId="15" xfId="0" applyNumberFormat="1" applyFont="1" applyFill="1" applyBorder="1" applyAlignment="1">
      <alignment horizontal="center" vertical="center"/>
    </xf>
    <xf numFmtId="4" fontId="39" fillId="26" borderId="14" xfId="0" applyNumberFormat="1" applyFont="1" applyFill="1" applyBorder="1" applyAlignment="1">
      <alignment vertical="center"/>
    </xf>
    <xf numFmtId="173" fontId="39" fillId="26" borderId="15" xfId="0" applyNumberFormat="1" applyFont="1" applyFill="1" applyBorder="1" applyAlignment="1">
      <alignment horizontal="center" vertical="center"/>
    </xf>
    <xf numFmtId="4" fontId="39" fillId="0" borderId="21" xfId="0" applyNumberFormat="1" applyFont="1" applyFill="1" applyBorder="1" applyAlignment="1">
      <alignment vertical="center"/>
    </xf>
    <xf numFmtId="4" fontId="39" fillId="0" borderId="6" xfId="0" applyNumberFormat="1" applyFont="1" applyFill="1" applyBorder="1" applyAlignment="1">
      <alignment vertical="center"/>
    </xf>
    <xf numFmtId="4" fontId="26" fillId="0" borderId="15" xfId="0" applyNumberFormat="1" applyFont="1" applyFill="1" applyBorder="1" applyAlignment="1">
      <alignment horizontal="center" vertical="center"/>
    </xf>
    <xf numFmtId="4" fontId="39" fillId="0" borderId="14" xfId="0" applyNumberFormat="1" applyFont="1" applyFill="1" applyBorder="1" applyAlignment="1">
      <alignment horizontal="left" vertical="center"/>
    </xf>
    <xf numFmtId="4" fontId="39" fillId="0" borderId="15" xfId="0" applyNumberFormat="1" applyFont="1" applyFill="1" applyBorder="1" applyAlignment="1">
      <alignment horizontal="center" vertical="center"/>
    </xf>
    <xf numFmtId="4" fontId="39" fillId="0" borderId="21" xfId="0" applyNumberFormat="1" applyFont="1" applyBorder="1" applyAlignment="1">
      <alignment vertical="center"/>
    </xf>
    <xf numFmtId="4" fontId="39" fillId="0" borderId="6" xfId="0" applyNumberFormat="1" applyFont="1" applyBorder="1" applyAlignment="1">
      <alignment horizontal="center" vertical="center"/>
    </xf>
    <xf numFmtId="4" fontId="26" fillId="0" borderId="0" xfId="0" applyNumberFormat="1" applyFont="1" applyFill="1" applyBorder="1" applyAlignment="1">
      <alignment horizontal="center" vertical="center"/>
    </xf>
    <xf numFmtId="0" fontId="28" fillId="0" borderId="15" xfId="0" applyFont="1" applyBorder="1" applyAlignment="1">
      <alignment horizontal="left"/>
    </xf>
    <xf numFmtId="0" fontId="28" fillId="0" borderId="15" xfId="0" applyFont="1" applyBorder="1" applyAlignment="1">
      <alignment/>
    </xf>
    <xf numFmtId="0" fontId="28" fillId="0" borderId="15" xfId="0" applyFont="1" applyBorder="1" applyAlignment="1">
      <alignment horizontal="justify" vertical="center"/>
    </xf>
    <xf numFmtId="4" fontId="39" fillId="0" borderId="0" xfId="0" applyNumberFormat="1" applyFont="1" applyBorder="1" applyAlignment="1">
      <alignment horizontal="center" vertical="center"/>
    </xf>
    <xf numFmtId="0" fontId="77" fillId="0" borderId="15" xfId="0" applyFont="1" applyBorder="1" applyAlignment="1">
      <alignment horizontal="justify" vertical="center"/>
    </xf>
    <xf numFmtId="4" fontId="39" fillId="0" borderId="13" xfId="0" applyNumberFormat="1" applyFont="1" applyFill="1" applyBorder="1" applyAlignment="1">
      <alignment horizontal="center" vertical="center"/>
    </xf>
    <xf numFmtId="4" fontId="39" fillId="0" borderId="13" xfId="83" applyNumberFormat="1" applyFont="1" applyFill="1" applyBorder="1" applyAlignment="1">
      <alignment horizontal="center" vertical="center"/>
      <protection/>
    </xf>
    <xf numFmtId="4" fontId="39" fillId="0" borderId="15" xfId="83" applyNumberFormat="1" applyFont="1" applyFill="1" applyBorder="1" applyAlignment="1">
      <alignment horizontal="center" vertical="center"/>
      <protection/>
    </xf>
    <xf numFmtId="4" fontId="39" fillId="0" borderId="25" xfId="83" applyNumberFormat="1" applyFont="1" applyFill="1" applyBorder="1" applyAlignment="1">
      <alignment horizontal="center" vertical="center"/>
      <protection/>
    </xf>
    <xf numFmtId="0" fontId="77" fillId="0" borderId="0" xfId="0" applyFont="1" applyBorder="1" applyAlignment="1">
      <alignment horizontal="justify" vertical="center"/>
    </xf>
    <xf numFmtId="4" fontId="39" fillId="0" borderId="0" xfId="83" applyNumberFormat="1" applyFont="1" applyFill="1" applyBorder="1" applyAlignment="1">
      <alignment horizontal="center" vertical="center"/>
      <protection/>
    </xf>
    <xf numFmtId="175" fontId="39" fillId="0" borderId="0" xfId="0" applyNumberFormat="1" applyFont="1" applyFill="1" applyBorder="1" applyAlignment="1">
      <alignment horizontal="left" vertical="center"/>
    </xf>
    <xf numFmtId="4" fontId="78" fillId="0" borderId="0" xfId="0" applyNumberFormat="1" applyFont="1" applyBorder="1" applyAlignment="1">
      <alignment vertical="center"/>
    </xf>
    <xf numFmtId="4" fontId="78" fillId="0" borderId="0" xfId="0" applyNumberFormat="1" applyFont="1" applyFill="1" applyBorder="1" applyAlignment="1">
      <alignment horizontal="center" vertical="center"/>
    </xf>
    <xf numFmtId="4" fontId="78" fillId="0" borderId="0" xfId="0" applyNumberFormat="1" applyFont="1" applyAlignment="1">
      <alignment horizontal="center" vertical="center"/>
    </xf>
    <xf numFmtId="4" fontId="79" fillId="0" borderId="0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4" fontId="78" fillId="0" borderId="0" xfId="0" applyNumberFormat="1" applyFont="1" applyBorder="1" applyAlignment="1">
      <alignment horizontal="center" vertical="center"/>
    </xf>
    <xf numFmtId="2" fontId="39" fillId="26" borderId="15" xfId="0" applyNumberFormat="1" applyFont="1" applyFill="1" applyBorder="1" applyAlignment="1">
      <alignment horizontal="center" vertical="center"/>
    </xf>
    <xf numFmtId="4" fontId="78" fillId="26" borderId="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4" fontId="27" fillId="25" borderId="0" xfId="48" applyNumberFormat="1" applyFont="1" applyFill="1" applyBorder="1" applyAlignment="1">
      <alignment vertical="center"/>
    </xf>
    <xf numFmtId="0" fontId="27" fillId="25" borderId="0" xfId="0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8" fillId="25" borderId="0" xfId="0" applyFont="1" applyFill="1" applyAlignment="1">
      <alignment horizontal="center" vertical="center"/>
    </xf>
    <xf numFmtId="4" fontId="26" fillId="0" borderId="16" xfId="0" applyNumberFormat="1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left" vertical="top"/>
    </xf>
    <xf numFmtId="0" fontId="80" fillId="0" borderId="15" xfId="0" applyFont="1" applyFill="1" applyBorder="1" applyAlignment="1">
      <alignment horizontal="center" vertical="top"/>
    </xf>
    <xf numFmtId="4" fontId="39" fillId="0" borderId="16" xfId="0" applyNumberFormat="1" applyFont="1" applyFill="1" applyBorder="1" applyAlignment="1">
      <alignment vertical="center"/>
    </xf>
    <xf numFmtId="172" fontId="39" fillId="26" borderId="15" xfId="48" applyFont="1" applyFill="1" applyBorder="1" applyAlignment="1">
      <alignment horizontal="center" vertical="center"/>
    </xf>
    <xf numFmtId="0" fontId="67" fillId="0" borderId="35" xfId="0" applyFont="1" applyFill="1" applyBorder="1" applyAlignment="1">
      <alignment vertical="top" wrapText="1"/>
    </xf>
    <xf numFmtId="0" fontId="11" fillId="0" borderId="36" xfId="0" applyFont="1" applyFill="1" applyBorder="1" applyAlignment="1">
      <alignment vertical="top" wrapText="1"/>
    </xf>
    <xf numFmtId="172" fontId="39" fillId="26" borderId="13" xfId="48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top" wrapText="1"/>
    </xf>
    <xf numFmtId="0" fontId="41" fillId="0" borderId="14" xfId="0" applyFont="1" applyFill="1" applyBorder="1" applyAlignment="1">
      <alignment vertical="top" wrapText="1"/>
    </xf>
    <xf numFmtId="0" fontId="41" fillId="0" borderId="15" xfId="0" applyFont="1" applyFill="1" applyBorder="1" applyAlignment="1">
      <alignment horizontal="center" vertical="top" wrapText="1"/>
    </xf>
    <xf numFmtId="171" fontId="39" fillId="26" borderId="14" xfId="121" applyFont="1" applyFill="1" applyBorder="1" applyAlignment="1">
      <alignment/>
    </xf>
    <xf numFmtId="0" fontId="39" fillId="26" borderId="14" xfId="0" applyFont="1" applyFill="1" applyBorder="1" applyAlignment="1">
      <alignment/>
    </xf>
    <xf numFmtId="171" fontId="39" fillId="0" borderId="16" xfId="121" applyFont="1" applyFill="1" applyBorder="1" applyAlignment="1">
      <alignment vertical="center"/>
    </xf>
    <xf numFmtId="171" fontId="39" fillId="0" borderId="14" xfId="121" applyFont="1" applyFill="1" applyBorder="1" applyAlignment="1">
      <alignment vertical="center"/>
    </xf>
    <xf numFmtId="0" fontId="39" fillId="26" borderId="15" xfId="0" applyFont="1" applyFill="1" applyBorder="1" applyAlignment="1">
      <alignment horizontal="center"/>
    </xf>
    <xf numFmtId="171" fontId="39" fillId="0" borderId="12" xfId="121" applyFont="1" applyFill="1" applyBorder="1" applyAlignment="1">
      <alignment vertical="center" wrapText="1"/>
    </xf>
    <xf numFmtId="171" fontId="39" fillId="0" borderId="12" xfId="121" applyFont="1" applyFill="1" applyBorder="1" applyAlignment="1">
      <alignment vertical="top" wrapText="1"/>
    </xf>
    <xf numFmtId="49" fontId="28" fillId="25" borderId="0" xfId="0" applyNumberFormat="1" applyFont="1" applyFill="1" applyBorder="1" applyAlignment="1">
      <alignment vertical="center" wrapText="1"/>
    </xf>
    <xf numFmtId="173" fontId="26" fillId="30" borderId="15" xfId="0" applyNumberFormat="1" applyFont="1" applyFill="1" applyBorder="1" applyAlignment="1">
      <alignment vertical="center" wrapText="1"/>
    </xf>
    <xf numFmtId="49" fontId="27" fillId="25" borderId="0" xfId="0" applyNumberFormat="1" applyFont="1" applyFill="1" applyBorder="1" applyAlignment="1">
      <alignment vertical="center" wrapText="1"/>
    </xf>
    <xf numFmtId="0" fontId="27" fillId="25" borderId="0" xfId="0" applyFont="1" applyFill="1" applyBorder="1" applyAlignment="1">
      <alignment vertical="center"/>
    </xf>
    <xf numFmtId="172" fontId="39" fillId="0" borderId="15" xfId="48" applyFont="1" applyFill="1" applyBorder="1" applyAlignment="1">
      <alignment vertical="center" wrapText="1"/>
    </xf>
    <xf numFmtId="172" fontId="39" fillId="0" borderId="15" xfId="48" applyFont="1" applyFill="1" applyBorder="1" applyAlignment="1">
      <alignment vertical="top" wrapText="1"/>
    </xf>
    <xf numFmtId="0" fontId="44" fillId="26" borderId="14" xfId="0" applyFont="1" applyFill="1" applyBorder="1" applyAlignment="1">
      <alignment/>
    </xf>
    <xf numFmtId="0" fontId="29" fillId="28" borderId="14" xfId="0" applyFont="1" applyFill="1" applyBorder="1" applyAlignment="1">
      <alignment horizontal="right" vertical="center"/>
    </xf>
    <xf numFmtId="0" fontId="29" fillId="28" borderId="16" xfId="0" applyFont="1" applyFill="1" applyBorder="1" applyAlignment="1">
      <alignment horizontal="right" vertical="center"/>
    </xf>
    <xf numFmtId="0" fontId="29" fillId="28" borderId="12" xfId="0" applyFont="1" applyFill="1" applyBorder="1" applyAlignment="1">
      <alignment horizontal="right" vertical="center"/>
    </xf>
    <xf numFmtId="173" fontId="29" fillId="28" borderId="14" xfId="0" applyNumberFormat="1" applyFont="1" applyFill="1" applyBorder="1" applyAlignment="1">
      <alignment horizontal="center" vertical="center"/>
    </xf>
    <xf numFmtId="173" fontId="29" fillId="28" borderId="12" xfId="0" applyNumberFormat="1" applyFont="1" applyFill="1" applyBorder="1" applyAlignment="1">
      <alignment horizontal="center" vertical="center"/>
    </xf>
    <xf numFmtId="0" fontId="27" fillId="26" borderId="14" xfId="0" applyFont="1" applyFill="1" applyBorder="1" applyAlignment="1">
      <alignment horizontal="center" vertical="center"/>
    </xf>
    <xf numFmtId="0" fontId="27" fillId="26" borderId="16" xfId="0" applyFont="1" applyFill="1" applyBorder="1" applyAlignment="1">
      <alignment horizontal="center" vertical="center"/>
    </xf>
    <xf numFmtId="0" fontId="26" fillId="28" borderId="14" xfId="0" applyFont="1" applyFill="1" applyBorder="1" applyAlignment="1">
      <alignment horizontal="center" vertical="center"/>
    </xf>
    <xf numFmtId="0" fontId="26" fillId="28" borderId="16" xfId="0" applyFont="1" applyFill="1" applyBorder="1" applyAlignment="1">
      <alignment horizontal="center" vertical="center"/>
    </xf>
    <xf numFmtId="0" fontId="26" fillId="28" borderId="12" xfId="0" applyFont="1" applyFill="1" applyBorder="1" applyAlignment="1">
      <alignment horizontal="center" vertical="center"/>
    </xf>
    <xf numFmtId="1" fontId="28" fillId="0" borderId="14" xfId="0" applyNumberFormat="1" applyFont="1" applyFill="1" applyBorder="1" applyAlignment="1">
      <alignment horizontal="center" vertical="center"/>
    </xf>
    <xf numFmtId="1" fontId="28" fillId="0" borderId="12" xfId="0" applyNumberFormat="1" applyFont="1" applyFill="1" applyBorder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4" fontId="28" fillId="0" borderId="14" xfId="0" applyNumberFormat="1" applyFont="1" applyFill="1" applyBorder="1" applyAlignment="1">
      <alignment horizontal="center" vertical="center"/>
    </xf>
    <xf numFmtId="4" fontId="28" fillId="0" borderId="12" xfId="0" applyNumberFormat="1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>
      <alignment horizontal="left" vertical="center" wrapText="1"/>
    </xf>
    <xf numFmtId="4" fontId="28" fillId="0" borderId="12" xfId="0" applyNumberFormat="1" applyFont="1" applyFill="1" applyBorder="1" applyAlignment="1">
      <alignment horizontal="left" vertical="center" wrapText="1"/>
    </xf>
    <xf numFmtId="4" fontId="31" fillId="0" borderId="14" xfId="0" applyNumberFormat="1" applyFont="1" applyFill="1" applyBorder="1" applyAlignment="1">
      <alignment horizontal="center" vertical="center"/>
    </xf>
    <xf numFmtId="4" fontId="31" fillId="0" borderId="16" xfId="0" applyNumberFormat="1" applyFont="1" applyFill="1" applyBorder="1" applyAlignment="1">
      <alignment horizontal="center" vertical="center"/>
    </xf>
    <xf numFmtId="4" fontId="31" fillId="0" borderId="12" xfId="0" applyNumberFormat="1" applyFont="1" applyFill="1" applyBorder="1" applyAlignment="1">
      <alignment horizontal="center" vertical="center"/>
    </xf>
    <xf numFmtId="175" fontId="33" fillId="0" borderId="16" xfId="0" applyNumberFormat="1" applyFont="1" applyFill="1" applyBorder="1" applyAlignment="1">
      <alignment horizontal="left" vertical="center" wrapText="1"/>
    </xf>
    <xf numFmtId="175" fontId="33" fillId="0" borderId="12" xfId="0" applyNumberFormat="1" applyFont="1" applyFill="1" applyBorder="1" applyAlignment="1">
      <alignment horizontal="left" vertical="center" wrapText="1"/>
    </xf>
    <xf numFmtId="4" fontId="28" fillId="26" borderId="14" xfId="0" applyNumberFormat="1" applyFont="1" applyFill="1" applyBorder="1" applyAlignment="1">
      <alignment horizontal="left" vertical="center" wrapText="1"/>
    </xf>
    <xf numFmtId="4" fontId="28" fillId="26" borderId="16" xfId="0" applyNumberFormat="1" applyFont="1" applyFill="1" applyBorder="1" applyAlignment="1">
      <alignment horizontal="left" vertical="center" wrapText="1"/>
    </xf>
    <xf numFmtId="4" fontId="28" fillId="26" borderId="12" xfId="0" applyNumberFormat="1" applyFont="1" applyFill="1" applyBorder="1" applyAlignment="1">
      <alignment horizontal="left" vertical="center" wrapText="1"/>
    </xf>
    <xf numFmtId="173" fontId="27" fillId="26" borderId="14" xfId="0" applyNumberFormat="1" applyFont="1" applyFill="1" applyBorder="1" applyAlignment="1">
      <alignment horizontal="center" vertical="center" wrapText="1"/>
    </xf>
    <xf numFmtId="173" fontId="27" fillId="26" borderId="12" xfId="0" applyNumberFormat="1" applyFont="1" applyFill="1" applyBorder="1" applyAlignment="1">
      <alignment horizontal="center" vertical="center" wrapText="1"/>
    </xf>
    <xf numFmtId="4" fontId="28" fillId="26" borderId="17" xfId="0" applyNumberFormat="1" applyFont="1" applyFill="1" applyBorder="1" applyAlignment="1">
      <alignment horizontal="center" vertical="center"/>
    </xf>
    <xf numFmtId="4" fontId="28" fillId="26" borderId="19" xfId="0" applyNumberFormat="1" applyFont="1" applyFill="1" applyBorder="1" applyAlignment="1">
      <alignment horizontal="center" vertical="center"/>
    </xf>
    <xf numFmtId="172" fontId="27" fillId="28" borderId="14" xfId="48" applyFont="1" applyFill="1" applyBorder="1" applyAlignment="1">
      <alignment horizontal="center" vertical="center" shrinkToFit="1"/>
    </xf>
    <xf numFmtId="172" fontId="27" fillId="28" borderId="12" xfId="48" applyFont="1" applyFill="1" applyBorder="1" applyAlignment="1">
      <alignment horizontal="center" vertical="center" shrinkToFit="1"/>
    </xf>
    <xf numFmtId="4" fontId="27" fillId="26" borderId="14" xfId="0" applyNumberFormat="1" applyFont="1" applyFill="1" applyBorder="1" applyAlignment="1">
      <alignment horizontal="left" vertical="center"/>
    </xf>
    <xf numFmtId="4" fontId="27" fillId="26" borderId="12" xfId="0" applyNumberFormat="1" applyFont="1" applyFill="1" applyBorder="1" applyAlignment="1">
      <alignment horizontal="left" vertical="center"/>
    </xf>
    <xf numFmtId="4" fontId="27" fillId="26" borderId="14" xfId="0" applyNumberFormat="1" applyFont="1" applyFill="1" applyBorder="1" applyAlignment="1">
      <alignment horizontal="center" vertical="center"/>
    </xf>
    <xf numFmtId="4" fontId="27" fillId="26" borderId="12" xfId="0" applyNumberFormat="1" applyFont="1" applyFill="1" applyBorder="1" applyAlignment="1">
      <alignment horizontal="center" vertical="center"/>
    </xf>
    <xf numFmtId="172" fontId="27" fillId="28" borderId="16" xfId="48" applyFont="1" applyFill="1" applyBorder="1" applyAlignment="1">
      <alignment horizontal="center" vertical="center" shrinkToFit="1"/>
    </xf>
    <xf numFmtId="4" fontId="27" fillId="0" borderId="16" xfId="0" applyNumberFormat="1" applyFont="1" applyFill="1" applyBorder="1" applyAlignment="1">
      <alignment horizontal="center" vertical="center"/>
    </xf>
    <xf numFmtId="4" fontId="27" fillId="0" borderId="12" xfId="0" applyNumberFormat="1" applyFont="1" applyFill="1" applyBorder="1" applyAlignment="1">
      <alignment horizontal="center" vertical="center"/>
    </xf>
    <xf numFmtId="4" fontId="27" fillId="0" borderId="14" xfId="0" applyNumberFormat="1" applyFont="1" applyFill="1" applyBorder="1" applyAlignment="1">
      <alignment horizontal="center" vertical="center"/>
    </xf>
    <xf numFmtId="175" fontId="28" fillId="0" borderId="14" xfId="0" applyNumberFormat="1" applyFont="1" applyFill="1" applyBorder="1" applyAlignment="1">
      <alignment vertical="center"/>
    </xf>
    <xf numFmtId="175" fontId="28" fillId="0" borderId="16" xfId="0" applyNumberFormat="1" applyFont="1" applyFill="1" applyBorder="1" applyAlignment="1">
      <alignment vertical="center"/>
    </xf>
    <xf numFmtId="175" fontId="28" fillId="0" borderId="12" xfId="0" applyNumberFormat="1" applyFont="1" applyFill="1" applyBorder="1" applyAlignment="1">
      <alignment vertical="center"/>
    </xf>
    <xf numFmtId="4" fontId="28" fillId="28" borderId="14" xfId="0" applyNumberFormat="1" applyFont="1" applyFill="1" applyBorder="1" applyAlignment="1">
      <alignment horizontal="center" vertical="center"/>
    </xf>
    <xf numFmtId="4" fontId="28" fillId="28" borderId="12" xfId="0" applyNumberFormat="1" applyFont="1" applyFill="1" applyBorder="1" applyAlignment="1">
      <alignment horizontal="center" vertical="center"/>
    </xf>
    <xf numFmtId="4" fontId="27" fillId="27" borderId="22" xfId="0" applyNumberFormat="1" applyFont="1" applyFill="1" applyBorder="1" applyAlignment="1">
      <alignment horizontal="center" vertical="center"/>
    </xf>
    <xf numFmtId="4" fontId="27" fillId="27" borderId="24" xfId="0" applyNumberFormat="1" applyFont="1" applyFill="1" applyBorder="1" applyAlignment="1">
      <alignment horizontal="center" vertical="center"/>
    </xf>
    <xf numFmtId="4" fontId="27" fillId="27" borderId="23" xfId="0" applyNumberFormat="1" applyFont="1" applyFill="1" applyBorder="1" applyAlignment="1">
      <alignment horizontal="center" vertical="center"/>
    </xf>
    <xf numFmtId="175" fontId="28" fillId="0" borderId="17" xfId="0" applyNumberFormat="1" applyFont="1" applyFill="1" applyBorder="1" applyAlignment="1">
      <alignment vertical="center"/>
    </xf>
    <xf numFmtId="175" fontId="28" fillId="0" borderId="18" xfId="0" applyNumberFormat="1" applyFont="1" applyFill="1" applyBorder="1" applyAlignment="1">
      <alignment vertical="center"/>
    </xf>
    <xf numFmtId="175" fontId="28" fillId="0" borderId="19" xfId="0" applyNumberFormat="1" applyFont="1" applyFill="1" applyBorder="1" applyAlignment="1">
      <alignment vertical="center"/>
    </xf>
    <xf numFmtId="4" fontId="28" fillId="0" borderId="17" xfId="0" applyNumberFormat="1" applyFont="1" applyFill="1" applyBorder="1" applyAlignment="1">
      <alignment horizontal="center" vertical="center"/>
    </xf>
    <xf numFmtId="4" fontId="28" fillId="0" borderId="19" xfId="0" applyNumberFormat="1" applyFont="1" applyFill="1" applyBorder="1" applyAlignment="1">
      <alignment horizontal="center" vertical="center"/>
    </xf>
    <xf numFmtId="175" fontId="28" fillId="0" borderId="14" xfId="0" applyNumberFormat="1" applyFont="1" applyFill="1" applyBorder="1" applyAlignment="1">
      <alignment horizontal="left" vertical="center"/>
    </xf>
    <xf numFmtId="175" fontId="28" fillId="0" borderId="16" xfId="0" applyNumberFormat="1" applyFont="1" applyFill="1" applyBorder="1" applyAlignment="1">
      <alignment horizontal="left" vertical="center"/>
    </xf>
    <xf numFmtId="175" fontId="28" fillId="0" borderId="12" xfId="0" applyNumberFormat="1" applyFont="1" applyFill="1" applyBorder="1" applyAlignment="1">
      <alignment horizontal="left" vertical="center"/>
    </xf>
    <xf numFmtId="175" fontId="27" fillId="0" borderId="14" xfId="0" applyNumberFormat="1" applyFont="1" applyFill="1" applyBorder="1" applyAlignment="1">
      <alignment vertical="center"/>
    </xf>
    <xf numFmtId="175" fontId="27" fillId="0" borderId="16" xfId="0" applyNumberFormat="1" applyFont="1" applyFill="1" applyBorder="1" applyAlignment="1">
      <alignment vertical="center"/>
    </xf>
    <xf numFmtId="175" fontId="27" fillId="0" borderId="12" xfId="0" applyNumberFormat="1" applyFont="1" applyFill="1" applyBorder="1" applyAlignment="1">
      <alignment vertical="center"/>
    </xf>
    <xf numFmtId="0" fontId="69" fillId="0" borderId="15" xfId="75" applyFont="1" applyBorder="1" applyAlignment="1">
      <alignment horizontal="left" vertical="center"/>
      <protection/>
    </xf>
    <xf numFmtId="4" fontId="27" fillId="27" borderId="14" xfId="0" applyNumberFormat="1" applyFont="1" applyFill="1" applyBorder="1" applyAlignment="1">
      <alignment horizontal="left" vertical="center"/>
    </xf>
    <xf numFmtId="4" fontId="27" fillId="27" borderId="16" xfId="0" applyNumberFormat="1" applyFont="1" applyFill="1" applyBorder="1" applyAlignment="1">
      <alignment horizontal="left" vertical="center"/>
    </xf>
    <xf numFmtId="4" fontId="27" fillId="27" borderId="12" xfId="0" applyNumberFormat="1" applyFont="1" applyFill="1" applyBorder="1" applyAlignment="1">
      <alignment horizontal="left" vertical="center"/>
    </xf>
    <xf numFmtId="4" fontId="28" fillId="0" borderId="0" xfId="0" applyNumberFormat="1" applyFont="1" applyFill="1" applyBorder="1" applyAlignment="1">
      <alignment horizontal="center" vertical="center"/>
    </xf>
    <xf numFmtId="173" fontId="27" fillId="27" borderId="14" xfId="0" applyNumberFormat="1" applyFont="1" applyFill="1" applyBorder="1" applyAlignment="1">
      <alignment horizontal="center" vertical="center"/>
    </xf>
    <xf numFmtId="173" fontId="27" fillId="27" borderId="12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left" vertical="center"/>
    </xf>
    <xf numFmtId="4" fontId="28" fillId="0" borderId="16" xfId="0" applyNumberFormat="1" applyFont="1" applyFill="1" applyBorder="1" applyAlignment="1">
      <alignment horizontal="left" vertical="center"/>
    </xf>
    <xf numFmtId="4" fontId="28" fillId="0" borderId="12" xfId="0" applyNumberFormat="1" applyFont="1" applyFill="1" applyBorder="1" applyAlignment="1">
      <alignment horizontal="left" vertical="center"/>
    </xf>
    <xf numFmtId="4" fontId="27" fillId="0" borderId="15" xfId="0" applyNumberFormat="1" applyFont="1" applyFill="1" applyBorder="1" applyAlignment="1">
      <alignment horizontal="center" vertical="center"/>
    </xf>
    <xf numFmtId="4" fontId="27" fillId="0" borderId="14" xfId="0" applyNumberFormat="1" applyFont="1" applyFill="1" applyBorder="1" applyAlignment="1">
      <alignment horizontal="left" vertical="center"/>
    </xf>
    <xf numFmtId="4" fontId="27" fillId="0" borderId="16" xfId="0" applyNumberFormat="1" applyFont="1" applyFill="1" applyBorder="1" applyAlignment="1">
      <alignment horizontal="left" vertical="center"/>
    </xf>
    <xf numFmtId="4" fontId="27" fillId="0" borderId="12" xfId="0" applyNumberFormat="1" applyFont="1" applyFill="1" applyBorder="1" applyAlignment="1">
      <alignment horizontal="left" vertical="center"/>
    </xf>
    <xf numFmtId="1" fontId="27" fillId="28" borderId="14" xfId="0" applyNumberFormat="1" applyFont="1" applyFill="1" applyBorder="1" applyAlignment="1">
      <alignment horizontal="center" vertical="center"/>
    </xf>
    <xf numFmtId="1" fontId="27" fillId="28" borderId="12" xfId="0" applyNumberFormat="1" applyFont="1" applyFill="1" applyBorder="1" applyAlignment="1">
      <alignment horizontal="center" vertical="center"/>
    </xf>
    <xf numFmtId="4" fontId="28" fillId="27" borderId="14" xfId="0" applyNumberFormat="1" applyFont="1" applyFill="1" applyBorder="1" applyAlignment="1">
      <alignment horizontal="center" vertical="center"/>
    </xf>
    <xf numFmtId="4" fontId="28" fillId="27" borderId="16" xfId="0" applyNumberFormat="1" applyFont="1" applyFill="1" applyBorder="1" applyAlignment="1">
      <alignment horizontal="center" vertical="center"/>
    </xf>
    <xf numFmtId="4" fontId="28" fillId="27" borderId="12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4" fontId="36" fillId="27" borderId="14" xfId="0" applyNumberFormat="1" applyFont="1" applyFill="1" applyBorder="1" applyAlignment="1">
      <alignment horizontal="center" vertical="center"/>
    </xf>
    <xf numFmtId="4" fontId="36" fillId="27" borderId="16" xfId="0" applyNumberFormat="1" applyFont="1" applyFill="1" applyBorder="1" applyAlignment="1">
      <alignment horizontal="center" vertical="center"/>
    </xf>
    <xf numFmtId="4" fontId="36" fillId="27" borderId="12" xfId="0" applyNumberFormat="1" applyFont="1" applyFill="1" applyBorder="1" applyAlignment="1">
      <alignment horizontal="center" vertical="center"/>
    </xf>
    <xf numFmtId="4" fontId="36" fillId="27" borderId="22" xfId="0" applyNumberFormat="1" applyFont="1" applyFill="1" applyBorder="1" applyAlignment="1">
      <alignment horizontal="center" vertical="center"/>
    </xf>
    <xf numFmtId="4" fontId="36" fillId="27" borderId="24" xfId="0" applyNumberFormat="1" applyFont="1" applyFill="1" applyBorder="1" applyAlignment="1">
      <alignment horizontal="center" vertical="center"/>
    </xf>
    <xf numFmtId="4" fontId="36" fillId="27" borderId="23" xfId="0" applyNumberFormat="1" applyFont="1" applyFill="1" applyBorder="1" applyAlignment="1">
      <alignment horizontal="center" vertical="center"/>
    </xf>
    <xf numFmtId="4" fontId="27" fillId="28" borderId="14" xfId="0" applyNumberFormat="1" applyFont="1" applyFill="1" applyBorder="1" applyAlignment="1">
      <alignment horizontal="center" vertical="center"/>
    </xf>
    <xf numFmtId="4" fontId="27" fillId="28" borderId="12" xfId="0" applyNumberFormat="1" applyFont="1" applyFill="1" applyBorder="1" applyAlignment="1">
      <alignment horizontal="center" vertical="center"/>
    </xf>
    <xf numFmtId="0" fontId="67" fillId="0" borderId="37" xfId="0" applyFont="1" applyFill="1" applyBorder="1" applyAlignment="1">
      <alignment horizontal="left" vertical="top" wrapText="1"/>
    </xf>
    <xf numFmtId="0" fontId="67" fillId="0" borderId="38" xfId="0" applyFont="1" applyFill="1" applyBorder="1" applyAlignment="1">
      <alignment horizontal="left" vertical="top" wrapText="1"/>
    </xf>
    <xf numFmtId="0" fontId="67" fillId="0" borderId="39" xfId="0" applyFont="1" applyFill="1" applyBorder="1" applyAlignment="1">
      <alignment horizontal="left" vertical="top" wrapText="1"/>
    </xf>
    <xf numFmtId="0" fontId="67" fillId="0" borderId="14" xfId="0" applyFont="1" applyFill="1" applyBorder="1" applyAlignment="1">
      <alignment horizontal="left" vertical="top"/>
    </xf>
    <xf numFmtId="0" fontId="67" fillId="0" borderId="16" xfId="0" applyFont="1" applyFill="1" applyBorder="1" applyAlignment="1">
      <alignment horizontal="left" vertical="top"/>
    </xf>
    <xf numFmtId="0" fontId="67" fillId="0" borderId="12" xfId="0" applyFont="1" applyFill="1" applyBorder="1" applyAlignment="1">
      <alignment horizontal="left" vertical="top"/>
    </xf>
    <xf numFmtId="10" fontId="27" fillId="0" borderId="14" xfId="91" applyNumberFormat="1" applyFont="1" applyFill="1" applyBorder="1" applyAlignment="1">
      <alignment horizontal="center" vertical="center"/>
    </xf>
    <xf numFmtId="10" fontId="27" fillId="0" borderId="12" xfId="91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1" fillId="0" borderId="40" xfId="0" applyFont="1" applyFill="1" applyBorder="1" applyAlignment="1">
      <alignment horizontal="left" vertical="top" wrapText="1"/>
    </xf>
    <xf numFmtId="0" fontId="11" fillId="0" borderId="41" xfId="0" applyFont="1" applyFill="1" applyBorder="1" applyAlignment="1">
      <alignment horizontal="left" vertical="top" wrapText="1"/>
    </xf>
    <xf numFmtId="0" fontId="11" fillId="0" borderId="42" xfId="0" applyFont="1" applyFill="1" applyBorder="1" applyAlignment="1">
      <alignment horizontal="left" vertical="top" wrapText="1"/>
    </xf>
    <xf numFmtId="0" fontId="81" fillId="0" borderId="14" xfId="0" applyFont="1" applyFill="1" applyBorder="1" applyAlignment="1">
      <alignment horizontal="left" vertical="top"/>
    </xf>
    <xf numFmtId="0" fontId="81" fillId="0" borderId="16" xfId="0" applyFont="1" applyFill="1" applyBorder="1" applyAlignment="1">
      <alignment horizontal="left" vertical="top"/>
    </xf>
    <xf numFmtId="0" fontId="81" fillId="0" borderId="12" xfId="0" applyFont="1" applyFill="1" applyBorder="1" applyAlignment="1">
      <alignment horizontal="left" vertical="top"/>
    </xf>
    <xf numFmtId="0" fontId="81" fillId="0" borderId="37" xfId="0" applyFont="1" applyFill="1" applyBorder="1" applyAlignment="1">
      <alignment horizontal="left" vertical="top" wrapText="1"/>
    </xf>
    <xf numFmtId="0" fontId="81" fillId="0" borderId="38" xfId="0" applyFont="1" applyFill="1" applyBorder="1" applyAlignment="1">
      <alignment horizontal="left" vertical="top" wrapText="1"/>
    </xf>
    <xf numFmtId="0" fontId="81" fillId="0" borderId="39" xfId="0" applyFont="1" applyFill="1" applyBorder="1" applyAlignment="1">
      <alignment horizontal="left" vertical="top" wrapText="1"/>
    </xf>
    <xf numFmtId="4" fontId="28" fillId="0" borderId="14" xfId="0" applyNumberFormat="1" applyFont="1" applyFill="1" applyBorder="1" applyAlignment="1">
      <alignment vertical="center" wrapText="1"/>
    </xf>
    <xf numFmtId="4" fontId="28" fillId="0" borderId="16" xfId="0" applyNumberFormat="1" applyFont="1" applyFill="1" applyBorder="1" applyAlignment="1">
      <alignment vertical="center" wrapText="1"/>
    </xf>
    <xf numFmtId="4" fontId="28" fillId="0" borderId="12" xfId="0" applyNumberFormat="1" applyFont="1" applyFill="1" applyBorder="1" applyAlignment="1">
      <alignment vertical="center" wrapText="1"/>
    </xf>
    <xf numFmtId="172" fontId="28" fillId="0" borderId="17" xfId="48" applyFont="1" applyFill="1" applyBorder="1" applyAlignment="1">
      <alignment horizontal="center" vertical="center"/>
    </xf>
    <xf numFmtId="172" fontId="28" fillId="0" borderId="19" xfId="48" applyFont="1" applyFill="1" applyBorder="1" applyAlignment="1">
      <alignment horizontal="center" vertical="center"/>
    </xf>
    <xf numFmtId="172" fontId="28" fillId="0" borderId="14" xfId="48" applyFont="1" applyFill="1" applyBorder="1" applyAlignment="1">
      <alignment horizontal="center" vertical="center"/>
    </xf>
    <xf numFmtId="172" fontId="28" fillId="0" borderId="12" xfId="48" applyFont="1" applyFill="1" applyBorder="1" applyAlignment="1">
      <alignment horizontal="center" vertical="center"/>
    </xf>
    <xf numFmtId="0" fontId="69" fillId="31" borderId="14" xfId="72" applyFont="1" applyFill="1" applyBorder="1" applyAlignment="1">
      <alignment vertical="center" wrapText="1"/>
      <protection/>
    </xf>
    <xf numFmtId="0" fontId="69" fillId="31" borderId="16" xfId="72" applyFont="1" applyFill="1" applyBorder="1" applyAlignment="1">
      <alignment vertical="center" wrapText="1"/>
      <protection/>
    </xf>
    <xf numFmtId="0" fontId="69" fillId="31" borderId="12" xfId="72" applyFont="1" applyFill="1" applyBorder="1" applyAlignment="1">
      <alignment vertical="center" wrapText="1"/>
      <protection/>
    </xf>
    <xf numFmtId="0" fontId="64" fillId="26" borderId="14" xfId="75" applyFont="1" applyFill="1" applyBorder="1" applyAlignment="1">
      <alignment horizontal="left" vertical="center" wrapText="1"/>
      <protection/>
    </xf>
    <xf numFmtId="0" fontId="64" fillId="26" borderId="16" xfId="75" applyFont="1" applyFill="1" applyBorder="1" applyAlignment="1">
      <alignment horizontal="left" vertical="center" wrapText="1"/>
      <protection/>
    </xf>
    <xf numFmtId="0" fontId="64" fillId="26" borderId="12" xfId="75" applyFont="1" applyFill="1" applyBorder="1" applyAlignment="1">
      <alignment horizontal="left" vertical="center" wrapText="1"/>
      <protection/>
    </xf>
    <xf numFmtId="0" fontId="28" fillId="0" borderId="14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12" xfId="0" applyFont="1" applyBorder="1" applyAlignment="1">
      <alignment horizontal="left" vertical="center"/>
    </xf>
    <xf numFmtId="0" fontId="64" fillId="26" borderId="14" xfId="75" applyFont="1" applyFill="1" applyBorder="1" applyAlignment="1">
      <alignment vertical="center" wrapText="1"/>
      <protection/>
    </xf>
    <xf numFmtId="0" fontId="64" fillId="26" borderId="16" xfId="75" applyFont="1" applyFill="1" applyBorder="1" applyAlignment="1">
      <alignment vertical="center" wrapText="1"/>
      <protection/>
    </xf>
    <xf numFmtId="0" fontId="64" fillId="26" borderId="12" xfId="75" applyFont="1" applyFill="1" applyBorder="1" applyAlignment="1">
      <alignment vertical="center" wrapText="1"/>
      <protection/>
    </xf>
    <xf numFmtId="172" fontId="28" fillId="0" borderId="15" xfId="48" applyFont="1" applyFill="1" applyBorder="1" applyAlignment="1">
      <alignment horizontal="center" vertical="center"/>
    </xf>
    <xf numFmtId="175" fontId="28" fillId="0" borderId="14" xfId="0" applyNumberFormat="1" applyFont="1" applyFill="1" applyBorder="1" applyAlignment="1">
      <alignment horizontal="left" vertical="center" wrapText="1"/>
    </xf>
    <xf numFmtId="175" fontId="28" fillId="0" borderId="16" xfId="0" applyNumberFormat="1" applyFont="1" applyFill="1" applyBorder="1" applyAlignment="1">
      <alignment horizontal="left" vertical="center" wrapText="1"/>
    </xf>
    <xf numFmtId="175" fontId="28" fillId="0" borderId="12" xfId="0" applyNumberFormat="1" applyFont="1" applyFill="1" applyBorder="1" applyAlignment="1">
      <alignment horizontal="left" vertical="center" wrapText="1"/>
    </xf>
    <xf numFmtId="4" fontId="27" fillId="27" borderId="14" xfId="0" applyNumberFormat="1" applyFont="1" applyFill="1" applyBorder="1" applyAlignment="1">
      <alignment horizontal="center" vertical="center"/>
    </xf>
    <xf numFmtId="4" fontId="27" fillId="27" borderId="16" xfId="0" applyNumberFormat="1" applyFont="1" applyFill="1" applyBorder="1" applyAlignment="1">
      <alignment horizontal="center" vertical="center"/>
    </xf>
    <xf numFmtId="4" fontId="27" fillId="27" borderId="12" xfId="0" applyNumberFormat="1" applyFont="1" applyFill="1" applyBorder="1" applyAlignment="1">
      <alignment horizontal="center" vertical="center"/>
    </xf>
    <xf numFmtId="4" fontId="27" fillId="26" borderId="16" xfId="0" applyNumberFormat="1" applyFont="1" applyFill="1" applyBorder="1" applyAlignment="1">
      <alignment horizontal="center" vertical="center"/>
    </xf>
    <xf numFmtId="175" fontId="69" fillId="0" borderId="14" xfId="0" applyNumberFormat="1" applyFont="1" applyFill="1" applyBorder="1" applyAlignment="1">
      <alignment horizontal="left" vertical="center" wrapText="1"/>
    </xf>
    <xf numFmtId="175" fontId="69" fillId="0" borderId="16" xfId="0" applyNumberFormat="1" applyFont="1" applyFill="1" applyBorder="1" applyAlignment="1">
      <alignment horizontal="left" vertical="center" wrapText="1"/>
    </xf>
    <xf numFmtId="175" fontId="69" fillId="0" borderId="12" xfId="0" applyNumberFormat="1" applyFont="1" applyFill="1" applyBorder="1" applyAlignment="1">
      <alignment horizontal="left" vertical="center" wrapText="1"/>
    </xf>
    <xf numFmtId="4" fontId="27" fillId="26" borderId="15" xfId="0" applyNumberFormat="1" applyFont="1" applyFill="1" applyBorder="1" applyAlignment="1">
      <alignment horizontal="left" vertical="center"/>
    </xf>
    <xf numFmtId="175" fontId="69" fillId="0" borderId="15" xfId="0" applyNumberFormat="1" applyFont="1" applyFill="1" applyBorder="1" applyAlignment="1">
      <alignment horizontal="left" vertical="center" wrapText="1"/>
    </xf>
    <xf numFmtId="4" fontId="26" fillId="26" borderId="0" xfId="0" applyNumberFormat="1" applyFont="1" applyFill="1" applyBorder="1" applyAlignment="1">
      <alignment horizontal="left" vertical="center" wrapText="1"/>
    </xf>
    <xf numFmtId="4" fontId="28" fillId="26" borderId="14" xfId="0" applyNumberFormat="1" applyFont="1" applyFill="1" applyBorder="1" applyAlignment="1">
      <alignment horizontal="justify" vertical="center" wrapText="1"/>
    </xf>
    <xf numFmtId="4" fontId="28" fillId="26" borderId="16" xfId="0" applyNumberFormat="1" applyFont="1" applyFill="1" applyBorder="1" applyAlignment="1">
      <alignment horizontal="justify" vertical="center" wrapText="1"/>
    </xf>
    <xf numFmtId="4" fontId="28" fillId="26" borderId="12" xfId="0" applyNumberFormat="1" applyFont="1" applyFill="1" applyBorder="1" applyAlignment="1">
      <alignment horizontal="justify" vertical="center" wrapText="1"/>
    </xf>
    <xf numFmtId="0" fontId="69" fillId="0" borderId="14" xfId="72" applyFont="1" applyBorder="1" applyAlignment="1">
      <alignment vertical="center"/>
      <protection/>
    </xf>
    <xf numFmtId="0" fontId="69" fillId="0" borderId="16" xfId="72" applyFont="1" applyBorder="1" applyAlignment="1">
      <alignment vertical="center"/>
      <protection/>
    </xf>
    <xf numFmtId="0" fontId="69" fillId="0" borderId="12" xfId="72" applyFont="1" applyBorder="1" applyAlignment="1">
      <alignment vertical="center"/>
      <protection/>
    </xf>
    <xf numFmtId="0" fontId="69" fillId="31" borderId="14" xfId="72" applyFont="1" applyFill="1" applyBorder="1" applyAlignment="1">
      <alignment vertical="center"/>
      <protection/>
    </xf>
    <xf numFmtId="0" fontId="69" fillId="31" borderId="16" xfId="72" applyFont="1" applyFill="1" applyBorder="1" applyAlignment="1">
      <alignment vertical="center"/>
      <protection/>
    </xf>
    <xf numFmtId="0" fontId="69" fillId="31" borderId="12" xfId="72" applyFont="1" applyFill="1" applyBorder="1" applyAlignment="1">
      <alignment vertical="center"/>
      <protection/>
    </xf>
    <xf numFmtId="4" fontId="69" fillId="31" borderId="14" xfId="72" applyNumberFormat="1" applyFont="1" applyFill="1" applyBorder="1" applyAlignment="1">
      <alignment vertical="center" wrapText="1"/>
      <protection/>
    </xf>
    <xf numFmtId="0" fontId="69" fillId="0" borderId="14" xfId="72" applyFont="1" applyBorder="1" applyAlignment="1">
      <alignment vertical="center" wrapText="1"/>
      <protection/>
    </xf>
    <xf numFmtId="0" fontId="69" fillId="0" borderId="16" xfId="72" applyFont="1" applyBorder="1" applyAlignment="1">
      <alignment vertical="center" wrapText="1"/>
      <protection/>
    </xf>
    <xf numFmtId="0" fontId="69" fillId="0" borderId="12" xfId="72" applyFont="1" applyBorder="1" applyAlignment="1">
      <alignment vertical="center" wrapText="1"/>
      <protection/>
    </xf>
    <xf numFmtId="4" fontId="64" fillId="26" borderId="14" xfId="75" applyNumberFormat="1" applyFont="1" applyFill="1" applyBorder="1" applyAlignment="1">
      <alignment horizontal="left" vertical="center" wrapText="1"/>
      <protection/>
    </xf>
    <xf numFmtId="4" fontId="28" fillId="26" borderId="14" xfId="0" applyNumberFormat="1" applyFont="1" applyFill="1" applyBorder="1" applyAlignment="1">
      <alignment horizontal="center" vertical="center"/>
    </xf>
    <xf numFmtId="4" fontId="28" fillId="26" borderId="12" xfId="0" applyNumberFormat="1" applyFont="1" applyFill="1" applyBorder="1" applyAlignment="1">
      <alignment horizontal="center" vertical="center"/>
    </xf>
    <xf numFmtId="4" fontId="71" fillId="27" borderId="14" xfId="0" applyNumberFormat="1" applyFont="1" applyFill="1" applyBorder="1" applyAlignment="1">
      <alignment horizontal="left" vertical="center"/>
    </xf>
    <xf numFmtId="4" fontId="71" fillId="27" borderId="16" xfId="0" applyNumberFormat="1" applyFont="1" applyFill="1" applyBorder="1" applyAlignment="1">
      <alignment horizontal="left" vertical="center"/>
    </xf>
    <xf numFmtId="4" fontId="71" fillId="27" borderId="12" xfId="0" applyNumberFormat="1" applyFont="1" applyFill="1" applyBorder="1" applyAlignment="1">
      <alignment horizontal="left" vertical="center"/>
    </xf>
    <xf numFmtId="4" fontId="31" fillId="0" borderId="14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 horizontal="center" vertical="center" wrapText="1"/>
    </xf>
    <xf numFmtId="175" fontId="32" fillId="0" borderId="16" xfId="0" applyNumberFormat="1" applyFont="1" applyFill="1" applyBorder="1" applyAlignment="1">
      <alignment horizontal="left" vertical="center" wrapText="1"/>
    </xf>
    <xf numFmtId="175" fontId="32" fillId="0" borderId="12" xfId="0" applyNumberFormat="1" applyFont="1" applyFill="1" applyBorder="1" applyAlignment="1">
      <alignment horizontal="left" vertical="center" wrapText="1"/>
    </xf>
    <xf numFmtId="4" fontId="28" fillId="26" borderId="15" xfId="0" applyNumberFormat="1" applyFont="1" applyFill="1" applyBorder="1" applyAlignment="1">
      <alignment horizontal="left" vertical="center" wrapText="1"/>
    </xf>
    <xf numFmtId="173" fontId="27" fillId="26" borderId="15" xfId="0" applyNumberFormat="1" applyFont="1" applyFill="1" applyBorder="1" applyAlignment="1">
      <alignment horizontal="center" vertical="center"/>
    </xf>
    <xf numFmtId="4" fontId="27" fillId="26" borderId="16" xfId="0" applyNumberFormat="1" applyFont="1" applyFill="1" applyBorder="1" applyAlignment="1">
      <alignment horizontal="left" vertical="center"/>
    </xf>
    <xf numFmtId="4" fontId="28" fillId="0" borderId="15" xfId="0" applyNumberFormat="1" applyFont="1" applyFill="1" applyBorder="1" applyAlignment="1">
      <alignment horizontal="left" vertical="center"/>
    </xf>
    <xf numFmtId="172" fontId="27" fillId="26" borderId="14" xfId="48" applyFont="1" applyFill="1" applyBorder="1" applyAlignment="1">
      <alignment horizontal="center" vertical="center" shrinkToFit="1"/>
    </xf>
    <xf numFmtId="172" fontId="27" fillId="26" borderId="12" xfId="48" applyFont="1" applyFill="1" applyBorder="1" applyAlignment="1">
      <alignment horizontal="center" vertical="center" shrinkToFit="1"/>
    </xf>
    <xf numFmtId="175" fontId="32" fillId="0" borderId="14" xfId="0" applyNumberFormat="1" applyFont="1" applyFill="1" applyBorder="1" applyAlignment="1">
      <alignment horizontal="left" vertical="center" wrapText="1"/>
    </xf>
    <xf numFmtId="4" fontId="28" fillId="0" borderId="15" xfId="0" applyNumberFormat="1" applyFont="1" applyFill="1" applyBorder="1" applyAlignment="1">
      <alignment horizontal="center" vertical="center"/>
    </xf>
    <xf numFmtId="4" fontId="27" fillId="0" borderId="22" xfId="0" applyNumberFormat="1" applyFont="1" applyFill="1" applyBorder="1" applyAlignment="1">
      <alignment horizontal="center" vertical="center"/>
    </xf>
    <xf numFmtId="4" fontId="27" fillId="0" borderId="23" xfId="0" applyNumberFormat="1" applyFont="1" applyFill="1" applyBorder="1" applyAlignment="1">
      <alignment horizontal="center" vertical="center"/>
    </xf>
    <xf numFmtId="4" fontId="27" fillId="0" borderId="22" xfId="0" applyNumberFormat="1" applyFont="1" applyFill="1" applyBorder="1" applyAlignment="1">
      <alignment horizontal="left" vertical="center"/>
    </xf>
    <xf numFmtId="4" fontId="27" fillId="0" borderId="24" xfId="0" applyNumberFormat="1" applyFont="1" applyFill="1" applyBorder="1" applyAlignment="1">
      <alignment horizontal="left" vertical="center"/>
    </xf>
    <xf numFmtId="4" fontId="28" fillId="0" borderId="16" xfId="0" applyNumberFormat="1" applyFont="1" applyFill="1" applyBorder="1" applyAlignment="1">
      <alignment horizontal="center" vertical="center"/>
    </xf>
    <xf numFmtId="172" fontId="27" fillId="27" borderId="14" xfId="48" applyFont="1" applyFill="1" applyBorder="1" applyAlignment="1">
      <alignment horizontal="center" vertical="center" shrinkToFit="1"/>
    </xf>
    <xf numFmtId="172" fontId="27" fillId="27" borderId="12" xfId="48" applyFont="1" applyFill="1" applyBorder="1" applyAlignment="1">
      <alignment horizontal="center" vertical="center" shrinkToFit="1"/>
    </xf>
    <xf numFmtId="172" fontId="27" fillId="27" borderId="16" xfId="48" applyFont="1" applyFill="1" applyBorder="1" applyAlignment="1">
      <alignment horizontal="center" vertical="center" shrinkToFit="1"/>
    </xf>
    <xf numFmtId="4" fontId="28" fillId="26" borderId="14" xfId="0" applyNumberFormat="1" applyFont="1" applyFill="1" applyBorder="1" applyAlignment="1">
      <alignment horizontal="left" vertical="center"/>
    </xf>
    <xf numFmtId="4" fontId="28" fillId="26" borderId="16" xfId="0" applyNumberFormat="1" applyFont="1" applyFill="1" applyBorder="1" applyAlignment="1">
      <alignment horizontal="left" vertical="center"/>
    </xf>
    <xf numFmtId="4" fontId="28" fillId="26" borderId="12" xfId="0" applyNumberFormat="1" applyFont="1" applyFill="1" applyBorder="1" applyAlignment="1">
      <alignment horizontal="left" vertical="center"/>
    </xf>
    <xf numFmtId="4" fontId="36" fillId="28" borderId="14" xfId="0" applyNumberFormat="1" applyFont="1" applyFill="1" applyBorder="1" applyAlignment="1">
      <alignment horizontal="center" vertical="center"/>
    </xf>
    <xf numFmtId="4" fontId="36" fillId="28" borderId="16" xfId="0" applyNumberFormat="1" applyFont="1" applyFill="1" applyBorder="1" applyAlignment="1">
      <alignment horizontal="center" vertical="center"/>
    </xf>
    <xf numFmtId="4" fontId="36" fillId="28" borderId="12" xfId="0" applyNumberFormat="1" applyFont="1" applyFill="1" applyBorder="1" applyAlignment="1">
      <alignment horizontal="center" vertical="center"/>
    </xf>
    <xf numFmtId="175" fontId="29" fillId="26" borderId="14" xfId="0" applyNumberFormat="1" applyFont="1" applyFill="1" applyBorder="1" applyAlignment="1">
      <alignment horizontal="left" vertical="center" wrapText="1"/>
    </xf>
    <xf numFmtId="175" fontId="29" fillId="26" borderId="12" xfId="0" applyNumberFormat="1" applyFont="1" applyFill="1" applyBorder="1" applyAlignment="1">
      <alignment horizontal="left" vertical="center" wrapText="1"/>
    </xf>
    <xf numFmtId="175" fontId="29" fillId="26" borderId="14" xfId="0" applyNumberFormat="1" applyFont="1" applyFill="1" applyBorder="1" applyAlignment="1">
      <alignment horizontal="left" vertical="center"/>
    </xf>
    <xf numFmtId="175" fontId="29" fillId="26" borderId="12" xfId="0" applyNumberFormat="1" applyFont="1" applyFill="1" applyBorder="1" applyAlignment="1">
      <alignment horizontal="left" vertical="center"/>
    </xf>
    <xf numFmtId="4" fontId="42" fillId="27" borderId="14" xfId="0" applyNumberFormat="1" applyFont="1" applyFill="1" applyBorder="1" applyAlignment="1">
      <alignment horizontal="center" vertical="center" wrapText="1"/>
    </xf>
    <xf numFmtId="4" fontId="42" fillId="27" borderId="12" xfId="0" applyNumberFormat="1" applyFont="1" applyFill="1" applyBorder="1" applyAlignment="1">
      <alignment horizontal="center" vertical="center" wrapText="1"/>
    </xf>
    <xf numFmtId="0" fontId="75" fillId="27" borderId="30" xfId="0" applyFont="1" applyFill="1" applyBorder="1" applyAlignment="1">
      <alignment horizontal="center" vertical="center"/>
    </xf>
    <xf numFmtId="0" fontId="75" fillId="27" borderId="34" xfId="0" applyFont="1" applyFill="1" applyBorder="1" applyAlignment="1">
      <alignment horizontal="center" vertical="center"/>
    </xf>
    <xf numFmtId="0" fontId="75" fillId="26" borderId="43" xfId="0" applyFont="1" applyFill="1" applyBorder="1" applyAlignment="1">
      <alignment horizontal="left" vertical="top"/>
    </xf>
    <xf numFmtId="0" fontId="75" fillId="26" borderId="44" xfId="0" applyFont="1" applyFill="1" applyBorder="1" applyAlignment="1">
      <alignment horizontal="left" vertical="top"/>
    </xf>
    <xf numFmtId="0" fontId="82" fillId="26" borderId="45" xfId="0" applyFont="1" applyFill="1" applyBorder="1" applyAlignment="1">
      <alignment horizontal="left" vertical="center"/>
    </xf>
    <xf numFmtId="0" fontId="82" fillId="26" borderId="46" xfId="0" applyFont="1" applyFill="1" applyBorder="1" applyAlignment="1">
      <alignment horizontal="left" vertical="center"/>
    </xf>
    <xf numFmtId="0" fontId="75" fillId="26" borderId="30" xfId="0" applyFont="1" applyFill="1" applyBorder="1" applyAlignment="1">
      <alignment horizontal="center" vertical="center" wrapText="1"/>
    </xf>
    <xf numFmtId="0" fontId="75" fillId="26" borderId="34" xfId="0" applyFont="1" applyFill="1" applyBorder="1" applyAlignment="1">
      <alignment horizontal="center" vertical="center" wrapText="1"/>
    </xf>
    <xf numFmtId="0" fontId="83" fillId="26" borderId="47" xfId="0" applyFont="1" applyFill="1" applyBorder="1" applyAlignment="1">
      <alignment horizontal="center" vertical="center" wrapText="1"/>
    </xf>
    <xf numFmtId="0" fontId="83" fillId="26" borderId="48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49" fontId="28" fillId="25" borderId="0" xfId="0" applyNumberFormat="1" applyFont="1" applyFill="1" applyBorder="1" applyAlignment="1">
      <alignment horizontal="left" vertical="center" wrapText="1"/>
    </xf>
    <xf numFmtId="49" fontId="27" fillId="25" borderId="0" xfId="0" applyNumberFormat="1" applyFont="1" applyFill="1" applyBorder="1" applyAlignment="1">
      <alignment horizontal="left" vertical="center" wrapText="1"/>
    </xf>
    <xf numFmtId="175" fontId="28" fillId="0" borderId="0" xfId="0" applyNumberFormat="1" applyFont="1" applyFill="1" applyBorder="1" applyAlignment="1">
      <alignment vertical="center"/>
    </xf>
    <xf numFmtId="4" fontId="26" fillId="0" borderId="14" xfId="0" applyNumberFormat="1" applyFont="1" applyBorder="1" applyAlignment="1">
      <alignment horizontal="center" vertical="center"/>
    </xf>
    <xf numFmtId="4" fontId="26" fillId="0" borderId="12" xfId="0" applyNumberFormat="1" applyFont="1" applyBorder="1" applyAlignment="1">
      <alignment horizontal="center" vertical="center"/>
    </xf>
    <xf numFmtId="4" fontId="26" fillId="0" borderId="14" xfId="0" applyNumberFormat="1" applyFont="1" applyFill="1" applyBorder="1" applyAlignment="1">
      <alignment horizontal="center" vertical="center"/>
    </xf>
    <xf numFmtId="4" fontId="26" fillId="0" borderId="12" xfId="0" applyNumberFormat="1" applyFont="1" applyFill="1" applyBorder="1" applyAlignment="1">
      <alignment horizontal="center" vertical="center"/>
    </xf>
    <xf numFmtId="4" fontId="26" fillId="29" borderId="22" xfId="0" applyNumberFormat="1" applyFont="1" applyFill="1" applyBorder="1" applyAlignment="1">
      <alignment horizontal="center" vertical="center"/>
    </xf>
    <xf numFmtId="4" fontId="26" fillId="29" borderId="23" xfId="0" applyNumberFormat="1" applyFont="1" applyFill="1" applyBorder="1" applyAlignment="1">
      <alignment horizontal="center" vertical="center"/>
    </xf>
    <xf numFmtId="4" fontId="26" fillId="29" borderId="17" xfId="0" applyNumberFormat="1" applyFont="1" applyFill="1" applyBorder="1" applyAlignment="1">
      <alignment horizontal="center" vertical="center"/>
    </xf>
    <xf numFmtId="4" fontId="26" fillId="29" borderId="19" xfId="0" applyNumberFormat="1" applyFont="1" applyFill="1" applyBorder="1" applyAlignment="1">
      <alignment horizontal="center" vertical="center"/>
    </xf>
    <xf numFmtId="4" fontId="26" fillId="0" borderId="15" xfId="0" applyNumberFormat="1" applyFont="1" applyBorder="1" applyAlignment="1">
      <alignment horizontal="center" vertical="center"/>
    </xf>
    <xf numFmtId="4" fontId="31" fillId="30" borderId="14" xfId="0" applyNumberFormat="1" applyFont="1" applyFill="1" applyBorder="1" applyAlignment="1">
      <alignment horizontal="center" vertical="center"/>
    </xf>
    <xf numFmtId="4" fontId="31" fillId="30" borderId="16" xfId="0" applyNumberFormat="1" applyFont="1" applyFill="1" applyBorder="1" applyAlignment="1">
      <alignment horizontal="center" vertical="center"/>
    </xf>
    <xf numFmtId="4" fontId="31" fillId="30" borderId="12" xfId="0" applyNumberFormat="1" applyFont="1" applyFill="1" applyBorder="1" applyAlignment="1">
      <alignment horizontal="center" vertical="center"/>
    </xf>
    <xf numFmtId="4" fontId="26" fillId="30" borderId="22" xfId="0" applyNumberFormat="1" applyFont="1" applyFill="1" applyBorder="1" applyAlignment="1">
      <alignment horizontal="center" vertical="center"/>
    </xf>
    <xf numFmtId="4" fontId="26" fillId="30" borderId="24" xfId="0" applyNumberFormat="1" applyFont="1" applyFill="1" applyBorder="1" applyAlignment="1">
      <alignment horizontal="center" vertical="center"/>
    </xf>
    <xf numFmtId="4" fontId="26" fillId="30" borderId="23" xfId="0" applyNumberFormat="1" applyFont="1" applyFill="1" applyBorder="1" applyAlignment="1">
      <alignment horizontal="center" vertical="center"/>
    </xf>
    <xf numFmtId="4" fontId="26" fillId="30" borderId="17" xfId="0" applyNumberFormat="1" applyFont="1" applyFill="1" applyBorder="1" applyAlignment="1">
      <alignment horizontal="center" vertical="center"/>
    </xf>
    <xf numFmtId="4" fontId="26" fillId="30" borderId="18" xfId="0" applyNumberFormat="1" applyFont="1" applyFill="1" applyBorder="1" applyAlignment="1">
      <alignment horizontal="center" vertical="center"/>
    </xf>
    <xf numFmtId="4" fontId="26" fillId="30" borderId="19" xfId="0" applyNumberFormat="1" applyFont="1" applyFill="1" applyBorder="1" applyAlignment="1">
      <alignment horizontal="center" vertical="center"/>
    </xf>
    <xf numFmtId="4" fontId="26" fillId="0" borderId="15" xfId="0" applyNumberFormat="1" applyFont="1" applyFill="1" applyBorder="1" applyAlignment="1">
      <alignment horizontal="center" vertical="center"/>
    </xf>
    <xf numFmtId="4" fontId="39" fillId="0" borderId="0" xfId="0" applyNumberFormat="1" applyFont="1" applyAlignment="1">
      <alignment horizontal="center" vertical="center"/>
    </xf>
  </cellXfs>
  <cellStyles count="11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Incorreto" xfId="47"/>
    <cellStyle name="Currency" xfId="48"/>
    <cellStyle name="Currency [0]" xfId="49"/>
    <cellStyle name="Moeda 2" xfId="50"/>
    <cellStyle name="Moeda 2 2" xfId="51"/>
    <cellStyle name="Moeda 2 3" xfId="52"/>
    <cellStyle name="Moeda 3" xfId="53"/>
    <cellStyle name="Moeda 3 2" xfId="54"/>
    <cellStyle name="Moeda 4" xfId="55"/>
    <cellStyle name="Moeda 4 2" xfId="56"/>
    <cellStyle name="Moeda 5" xfId="57"/>
    <cellStyle name="Moeda 5 2" xfId="58"/>
    <cellStyle name="Moeda 5 2 2" xfId="59"/>
    <cellStyle name="Moeda 5 3" xfId="60"/>
    <cellStyle name="Moeda 5 4" xfId="61"/>
    <cellStyle name="Moeda 6" xfId="62"/>
    <cellStyle name="Moeda 7" xfId="63"/>
    <cellStyle name="Moeda 8" xfId="64"/>
    <cellStyle name="Moeda 8 2" xfId="65"/>
    <cellStyle name="Neutra" xfId="66"/>
    <cellStyle name="Normal 2" xfId="67"/>
    <cellStyle name="Normal 2 2" xfId="68"/>
    <cellStyle name="Normal 2 2 2" xfId="69"/>
    <cellStyle name="Normal 2 2 3" xfId="70"/>
    <cellStyle name="Normal 2 3" xfId="71"/>
    <cellStyle name="Normal 2 4" xfId="72"/>
    <cellStyle name="Normal 3" xfId="73"/>
    <cellStyle name="Normal 3 2" xfId="74"/>
    <cellStyle name="Normal 4" xfId="75"/>
    <cellStyle name="Normal 4 2" xfId="76"/>
    <cellStyle name="Normal 4 3" xfId="77"/>
    <cellStyle name="Normal 4 4" xfId="78"/>
    <cellStyle name="Normal 5" xfId="79"/>
    <cellStyle name="Normal 5 2" xfId="80"/>
    <cellStyle name="Normal 6" xfId="81"/>
    <cellStyle name="Normal 7" xfId="82"/>
    <cellStyle name="Normal_VARRIÇAO" xfId="83"/>
    <cellStyle name="Nota" xfId="84"/>
    <cellStyle name="Nota 2" xfId="85"/>
    <cellStyle name="Output Amounts" xfId="86"/>
    <cellStyle name="Output Column Headings" xfId="87"/>
    <cellStyle name="Output Line Items" xfId="88"/>
    <cellStyle name="Output Report Heading" xfId="89"/>
    <cellStyle name="Output Report Title" xfId="90"/>
    <cellStyle name="Percent" xfId="91"/>
    <cellStyle name="Porcentagem 10" xfId="92"/>
    <cellStyle name="Porcentagem 2" xfId="93"/>
    <cellStyle name="Porcentagem 2 2" xfId="94"/>
    <cellStyle name="Porcentagem 2 3" xfId="95"/>
    <cellStyle name="Porcentagem 3" xfId="96"/>
    <cellStyle name="Porcentagem 3 2" xfId="97"/>
    <cellStyle name="Porcentagem 3 3" xfId="98"/>
    <cellStyle name="Porcentagem 4" xfId="99"/>
    <cellStyle name="Porcentagem 5" xfId="100"/>
    <cellStyle name="Saída" xfId="101"/>
    <cellStyle name="Comma [0]" xfId="102"/>
    <cellStyle name="Separador de milhares 2" xfId="103"/>
    <cellStyle name="Separador de milhares 2 2" xfId="104"/>
    <cellStyle name="Separador de milhares 3" xfId="105"/>
    <cellStyle name="Separador de milhares 3 2" xfId="106"/>
    <cellStyle name="Separador de milhares 3 2 2" xfId="107"/>
    <cellStyle name="Separador de milhares 3 3" xfId="108"/>
    <cellStyle name="Separador de milhares 4" xfId="109"/>
    <cellStyle name="Separador de milhares 4 2" xfId="110"/>
    <cellStyle name="Separador de milhares 5" xfId="111"/>
    <cellStyle name="Texto de Aviso" xfId="112"/>
    <cellStyle name="Texto Explicativo" xfId="113"/>
    <cellStyle name="Título" xfId="114"/>
    <cellStyle name="Título 1" xfId="115"/>
    <cellStyle name="Título 2" xfId="116"/>
    <cellStyle name="Título 3" xfId="117"/>
    <cellStyle name="Título 4" xfId="118"/>
    <cellStyle name="Título 5" xfId="119"/>
    <cellStyle name="Total" xfId="120"/>
    <cellStyle name="Comma" xfId="121"/>
    <cellStyle name="Vírgula 2" xfId="122"/>
    <cellStyle name="Vírgula 2 2" xfId="123"/>
    <cellStyle name="Vírgula 3" xfId="124"/>
    <cellStyle name="Vírgula 5" xfId="125"/>
    <cellStyle name="Vírgula 5 2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885825</xdr:colOff>
      <xdr:row>1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1276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942975</xdr:colOff>
      <xdr:row>1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933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16</xdr:row>
      <xdr:rowOff>66675</xdr:rowOff>
    </xdr:from>
    <xdr:to>
      <xdr:col>1</xdr:col>
      <xdr:colOff>1276350</xdr:colOff>
      <xdr:row>35</xdr:row>
      <xdr:rowOff>76200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419600"/>
          <a:ext cx="4905375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28575</xdr:rowOff>
    </xdr:from>
    <xdr:to>
      <xdr:col>0</xdr:col>
      <xdr:colOff>1266825</xdr:colOff>
      <xdr:row>2</xdr:row>
      <xdr:rowOff>114300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8575"/>
          <a:ext cx="10477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19050</xdr:rowOff>
    </xdr:from>
    <xdr:to>
      <xdr:col>2</xdr:col>
      <xdr:colOff>1133475</xdr:colOff>
      <xdr:row>2</xdr:row>
      <xdr:rowOff>57150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1181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619125</xdr:colOff>
      <xdr:row>0</xdr:row>
      <xdr:rowOff>0</xdr:rowOff>
    </xdr:from>
    <xdr:to>
      <xdr:col>2</xdr:col>
      <xdr:colOff>2009775</xdr:colOff>
      <xdr:row>2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0"/>
          <a:ext cx="13906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dservidor\Comercial\Setor%20de%20Desenvolvimento\Licita&#231;&#245;es%20-%202006\MG\Betim\CR%20020-2006\Proposta%20Comercial\Composi&#231;&#245;es%20Beti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Projetos\Po&#231;os%20de%20Caldas\Diagnostico%20SLU\EDITAIS\planilhas%20de%20referencia%20PC%201%2020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RAL"/>
      <sheetName val="Comp."/>
      <sheetName val="Proposta"/>
      <sheetName val="1 -DOM."/>
      <sheetName val="2 - SEL."/>
      <sheetName val="3 - COMP."/>
      <sheetName val="4 -RSS"/>
      <sheetName val="5 - TRAT."/>
      <sheetName val="6 - VARRIÇÃO"/>
      <sheetName val="7 - SERV.DIV."/>
      <sheetName val="8 - BOCA"/>
      <sheetName val="9 - ATERRO"/>
      <sheetName val="10 - TOP."/>
      <sheetName val="11 - VIGIA"/>
      <sheetName val="12- INSUMOS"/>
      <sheetName val="14-VEIC."/>
      <sheetName val="13- MAQ."/>
      <sheetName val="5 - ADMINISTRAÇÃO LOCAL"/>
      <sheetName val="15- RES. M. O."/>
      <sheetName val="16 -ENC. SOC."/>
      <sheetName val="ADM. LOCAL"/>
      <sheetName val="B.D.I."/>
      <sheetName val="1 _DOM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leta domiciliar"/>
      <sheetName val="Transbordo e Trans."/>
      <sheetName val="Transp. RSS"/>
      <sheetName val="Coleta saude"/>
      <sheetName val="Coleta inerte"/>
      <sheetName val="Coleta seletiva"/>
      <sheetName val="Varrição manual"/>
      <sheetName val="Varrição Mecanica"/>
      <sheetName val="Equipe especial"/>
      <sheetName val="Capina mecanizada"/>
      <sheetName val="Limpeza mec. boca de lobo"/>
      <sheetName val="Pintura de guia"/>
      <sheetName val="Lavagem de feiras"/>
      <sheetName val=" tratamento RSS"/>
      <sheetName val="CTR"/>
      <sheetName val="PLANILHA REFERÊNCIA"/>
      <sheetName val="Cronograma"/>
      <sheetName val="serv propostos e atuais"/>
      <sheetName val="Insumos"/>
      <sheetName val="Composição Enc Sociais"/>
      <sheetName val="Índices reajustamento"/>
      <sheetName val="Compostagem"/>
      <sheetName val="Poda"/>
      <sheetName val="Varrição manual 3"/>
      <sheetName val="Capina"/>
      <sheetName val="Capina1"/>
      <sheetName val="Equipe Limpa Fossa"/>
      <sheetName val="mobiliario urbano"/>
      <sheetName val="Plan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view="pageBreakPreview" zoomScale="115" zoomScaleSheetLayoutView="115" zoomScalePageLayoutView="0" workbookViewId="0" topLeftCell="A7">
      <selection activeCell="E18" sqref="E18"/>
    </sheetView>
  </sheetViews>
  <sheetFormatPr defaultColWidth="9.140625" defaultRowHeight="12.75"/>
  <cols>
    <col min="1" max="1" width="5.8515625" style="0" bestFit="1" customWidth="1"/>
    <col min="2" max="2" width="40.7109375" style="0" bestFit="1" customWidth="1"/>
    <col min="3" max="3" width="13.00390625" style="3" bestFit="1" customWidth="1"/>
    <col min="4" max="4" width="8.57421875" style="0" customWidth="1"/>
    <col min="5" max="5" width="17.421875" style="0" customWidth="1"/>
    <col min="6" max="6" width="16.7109375" style="0" bestFit="1" customWidth="1"/>
  </cols>
  <sheetData>
    <row r="1" spans="1:6" ht="53.25" customHeight="1">
      <c r="A1" s="389" t="s">
        <v>413</v>
      </c>
      <c r="B1" s="390"/>
      <c r="C1" s="390"/>
      <c r="D1" s="390"/>
      <c r="E1" s="390"/>
      <c r="F1" s="391"/>
    </row>
    <row r="2" spans="1:7" ht="17.25" customHeight="1">
      <c r="A2" s="387"/>
      <c r="B2" s="388"/>
      <c r="C2" s="388"/>
      <c r="D2" s="388"/>
      <c r="E2" s="388"/>
      <c r="F2" s="4">
        <f>'5. ADM LOCAL'!J4</f>
        <v>44621</v>
      </c>
      <c r="G2" s="1"/>
    </row>
    <row r="3" spans="1:7" ht="35.25" customHeight="1">
      <c r="A3" s="5" t="s">
        <v>14</v>
      </c>
      <c r="B3" s="5" t="s">
        <v>125</v>
      </c>
      <c r="C3" s="5" t="s">
        <v>126</v>
      </c>
      <c r="D3" s="6" t="s">
        <v>0</v>
      </c>
      <c r="E3" s="6" t="s">
        <v>127</v>
      </c>
      <c r="F3" s="6" t="s">
        <v>168</v>
      </c>
      <c r="G3" s="1"/>
    </row>
    <row r="4" spans="1:7" ht="95.25" customHeight="1">
      <c r="A4" s="7">
        <v>1</v>
      </c>
      <c r="B4" s="8" t="s">
        <v>429</v>
      </c>
      <c r="C4" s="9" t="s">
        <v>167</v>
      </c>
      <c r="D4" s="10">
        <v>1</v>
      </c>
      <c r="E4" s="11">
        <f>'1. Forn. de Mudas e Plantio'!I177</f>
        <v>141652.88</v>
      </c>
      <c r="F4" s="12">
        <f>E4*D4</f>
        <v>141652.88</v>
      </c>
      <c r="G4" s="1"/>
    </row>
    <row r="5" spans="1:7" ht="62.25" customHeight="1">
      <c r="A5" s="9">
        <v>2</v>
      </c>
      <c r="B5" s="8" t="s">
        <v>430</v>
      </c>
      <c r="C5" s="9" t="s">
        <v>167</v>
      </c>
      <c r="D5" s="13">
        <v>1</v>
      </c>
      <c r="E5" s="14">
        <f>'2. Poda'!I194</f>
        <v>65064.39</v>
      </c>
      <c r="F5" s="12">
        <f>E5*D5</f>
        <v>65064.39</v>
      </c>
      <c r="G5" s="1"/>
    </row>
    <row r="6" spans="1:7" ht="64.5" customHeight="1">
      <c r="A6" s="7">
        <v>3</v>
      </c>
      <c r="B6" s="8" t="s">
        <v>349</v>
      </c>
      <c r="C6" s="9" t="s">
        <v>167</v>
      </c>
      <c r="D6" s="15">
        <v>1</v>
      </c>
      <c r="E6" s="16">
        <f>'3. Zeladoria de Praças'!I257</f>
        <v>76002.45</v>
      </c>
      <c r="F6" s="12">
        <f>E6*D6</f>
        <v>76002.45</v>
      </c>
      <c r="G6" s="1"/>
    </row>
    <row r="7" spans="1:7" ht="29.25" customHeight="1">
      <c r="A7" s="9">
        <v>4</v>
      </c>
      <c r="B7" s="8" t="s">
        <v>431</v>
      </c>
      <c r="C7" s="9" t="s">
        <v>167</v>
      </c>
      <c r="D7" s="15">
        <v>1</v>
      </c>
      <c r="E7" s="16">
        <f>'4. Irrigação'!I120</f>
        <v>32819.8</v>
      </c>
      <c r="F7" s="12">
        <f>E7*D7</f>
        <v>32819.8</v>
      </c>
      <c r="G7" s="1"/>
    </row>
    <row r="8" spans="1:7" ht="29.25" customHeight="1">
      <c r="A8" s="7">
        <v>5</v>
      </c>
      <c r="B8" s="8" t="s">
        <v>197</v>
      </c>
      <c r="C8" s="9" t="s">
        <v>167</v>
      </c>
      <c r="D8" s="15">
        <v>1</v>
      </c>
      <c r="E8" s="16">
        <f>'5. ADM LOCAL'!I184</f>
        <v>63523.01</v>
      </c>
      <c r="F8" s="12">
        <f>E8*D8</f>
        <v>63523.01</v>
      </c>
      <c r="G8" s="1"/>
    </row>
    <row r="9" spans="1:7" ht="23.25" customHeight="1">
      <c r="A9" s="382" t="s">
        <v>128</v>
      </c>
      <c r="B9" s="383"/>
      <c r="C9" s="383"/>
      <c r="D9" s="384"/>
      <c r="E9" s="385">
        <f>SUM(F4:F8)</f>
        <v>379062.53</v>
      </c>
      <c r="F9" s="386"/>
      <c r="G9" s="1"/>
    </row>
    <row r="10" spans="1:7" ht="21.75" customHeight="1">
      <c r="A10" s="382" t="s">
        <v>376</v>
      </c>
      <c r="B10" s="383"/>
      <c r="C10" s="383"/>
      <c r="D10" s="384"/>
      <c r="E10" s="385">
        <f>ROUND(E9*12,2)</f>
        <v>4548750.36</v>
      </c>
      <c r="F10" s="386"/>
      <c r="G10" s="1"/>
    </row>
    <row r="11" spans="1:7" ht="12.75">
      <c r="A11" s="1"/>
      <c r="B11" s="1"/>
      <c r="C11" s="2"/>
      <c r="D11" s="1"/>
      <c r="E11" s="1"/>
      <c r="F11" s="1"/>
      <c r="G11" s="1"/>
    </row>
    <row r="12" spans="1:7" ht="12.75">
      <c r="A12" s="1"/>
      <c r="B12" s="1"/>
      <c r="C12" s="2"/>
      <c r="D12" s="1"/>
      <c r="E12" s="1"/>
      <c r="F12" s="1"/>
      <c r="G12" s="1"/>
    </row>
    <row r="13" spans="1:7" ht="12.75">
      <c r="A13" s="1"/>
      <c r="B13" s="1"/>
      <c r="C13" s="2"/>
      <c r="D13" s="1"/>
      <c r="E13" s="1"/>
      <c r="F13" s="1"/>
      <c r="G13" s="1"/>
    </row>
    <row r="14" spans="1:7" ht="12.75">
      <c r="A14" s="1"/>
      <c r="B14" s="1"/>
      <c r="C14" s="2"/>
      <c r="D14" s="1"/>
      <c r="E14" s="1"/>
      <c r="F14" s="1"/>
      <c r="G14" s="1"/>
    </row>
    <row r="39" ht="12.75">
      <c r="G39">
        <f>Insumos!D13</f>
        <v>9696</v>
      </c>
    </row>
  </sheetData>
  <sheetProtection/>
  <mergeCells count="6">
    <mergeCell ref="A9:D9"/>
    <mergeCell ref="E9:F9"/>
    <mergeCell ref="A2:E2"/>
    <mergeCell ref="A10:D10"/>
    <mergeCell ref="E10:F10"/>
    <mergeCell ref="A1:F1"/>
  </mergeCells>
  <printOptions horizontalCentered="1" vertic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C1:M49"/>
  <sheetViews>
    <sheetView showGridLines="0" view="pageBreakPreview" zoomScaleNormal="75" zoomScaleSheetLayoutView="100" zoomScalePageLayoutView="0" workbookViewId="0" topLeftCell="C19">
      <selection activeCell="G41" sqref="G41"/>
    </sheetView>
  </sheetViews>
  <sheetFormatPr defaultColWidth="8.7109375" defaultRowHeight="19.5" customHeight="1"/>
  <cols>
    <col min="1" max="1" width="1.8515625" style="311" customWidth="1"/>
    <col min="2" max="2" width="2.7109375" style="311" customWidth="1"/>
    <col min="3" max="3" width="51.28125" style="311" customWidth="1"/>
    <col min="4" max="4" width="11.57421875" style="319" customWidth="1"/>
    <col min="5" max="5" width="18.00390625" style="311" customWidth="1"/>
    <col min="6" max="6" width="17.00390625" style="311" customWidth="1"/>
    <col min="7" max="8" width="20.140625" style="311" customWidth="1"/>
    <col min="9" max="9" width="23.57421875" style="312" customWidth="1"/>
    <col min="10" max="10" width="3.7109375" style="311" customWidth="1"/>
    <col min="11" max="11" width="12.8515625" style="312" customWidth="1"/>
    <col min="12" max="12" width="8.7109375" style="311" customWidth="1"/>
    <col min="13" max="13" width="13.57421875" style="312" customWidth="1"/>
    <col min="14" max="14" width="8.7109375" style="311" customWidth="1"/>
    <col min="15" max="15" width="6.00390625" style="312" customWidth="1"/>
    <col min="16" max="16" width="2.7109375" style="312" customWidth="1"/>
    <col min="17" max="17" width="2.28125" style="311" customWidth="1"/>
    <col min="18" max="19" width="8.7109375" style="311" customWidth="1"/>
    <col min="20" max="20" width="6.421875" style="311" customWidth="1"/>
    <col min="21" max="21" width="13.421875" style="311" customWidth="1"/>
    <col min="22" max="22" width="12.28125" style="311" customWidth="1"/>
    <col min="23" max="23" width="6.57421875" style="311" customWidth="1"/>
    <col min="24" max="24" width="15.7109375" style="311" customWidth="1"/>
    <col min="25" max="25" width="23.28125" style="311" customWidth="1"/>
    <col min="26" max="16384" width="8.7109375" style="311" customWidth="1"/>
  </cols>
  <sheetData>
    <row r="1" spans="3:9" ht="19.5" customHeight="1">
      <c r="C1" s="601" t="s">
        <v>198</v>
      </c>
      <c r="D1" s="602"/>
      <c r="E1" s="602"/>
      <c r="F1" s="602"/>
      <c r="G1" s="602"/>
      <c r="H1" s="602"/>
      <c r="I1" s="603"/>
    </row>
    <row r="2" spans="3:9" ht="44.25" customHeight="1">
      <c r="C2" s="604"/>
      <c r="D2" s="605"/>
      <c r="E2" s="605"/>
      <c r="F2" s="605"/>
      <c r="G2" s="605"/>
      <c r="H2" s="605"/>
      <c r="I2" s="606"/>
    </row>
    <row r="3" spans="3:9" ht="17.25" customHeight="1">
      <c r="C3" s="607"/>
      <c r="D3" s="607"/>
      <c r="E3" s="607"/>
      <c r="F3" s="607"/>
      <c r="G3" s="607"/>
      <c r="H3" s="607"/>
      <c r="I3" s="607"/>
    </row>
    <row r="4" spans="3:9" ht="19.5" customHeight="1">
      <c r="C4" s="598" t="s">
        <v>199</v>
      </c>
      <c r="D4" s="599"/>
      <c r="E4" s="599"/>
      <c r="F4" s="599"/>
      <c r="G4" s="599"/>
      <c r="H4" s="599"/>
      <c r="I4" s="600"/>
    </row>
    <row r="5" spans="3:9" ht="19.5" customHeight="1">
      <c r="C5" s="317" t="s">
        <v>12</v>
      </c>
      <c r="D5" s="326" t="s">
        <v>210</v>
      </c>
      <c r="E5" s="357" t="s">
        <v>200</v>
      </c>
      <c r="F5" s="317" t="s">
        <v>201</v>
      </c>
      <c r="G5" s="326" t="s">
        <v>103</v>
      </c>
      <c r="H5" s="326" t="s">
        <v>202</v>
      </c>
      <c r="I5" s="326" t="s">
        <v>203</v>
      </c>
    </row>
    <row r="6" spans="3:13" ht="19.5" customHeight="1">
      <c r="C6" s="358" t="s">
        <v>435</v>
      </c>
      <c r="D6" s="359" t="s">
        <v>211</v>
      </c>
      <c r="E6" s="360">
        <v>50</v>
      </c>
      <c r="F6" s="320">
        <f>E6*12</f>
        <v>600</v>
      </c>
      <c r="G6" s="361">
        <v>44</v>
      </c>
      <c r="H6" s="361">
        <f>G6*E6</f>
        <v>2200</v>
      </c>
      <c r="I6" s="361">
        <f>G6*F6</f>
        <v>26400</v>
      </c>
      <c r="K6" s="608"/>
      <c r="L6" s="608"/>
      <c r="M6" s="608"/>
    </row>
    <row r="7" spans="3:13" ht="19.5" customHeight="1">
      <c r="C7" s="362" t="s">
        <v>436</v>
      </c>
      <c r="D7" s="359" t="s">
        <v>211</v>
      </c>
      <c r="E7" s="360">
        <v>50</v>
      </c>
      <c r="F7" s="320">
        <f>E7*12</f>
        <v>600</v>
      </c>
      <c r="G7" s="361">
        <v>40.42</v>
      </c>
      <c r="H7" s="361">
        <f aca="true" t="shared" si="0" ref="H7:H40">G7*E7</f>
        <v>2021</v>
      </c>
      <c r="I7" s="361">
        <f aca="true" t="shared" si="1" ref="I7:I40">G7*F7</f>
        <v>24252</v>
      </c>
      <c r="K7" s="608"/>
      <c r="L7" s="608"/>
      <c r="M7" s="608"/>
    </row>
    <row r="8" spans="3:13" ht="19.5" customHeight="1">
      <c r="C8" s="363" t="s">
        <v>437</v>
      </c>
      <c r="D8" s="359" t="s">
        <v>211</v>
      </c>
      <c r="E8" s="360">
        <v>50</v>
      </c>
      <c r="F8" s="320">
        <f>E8*12</f>
        <v>600</v>
      </c>
      <c r="G8" s="364">
        <v>20.28</v>
      </c>
      <c r="H8" s="361">
        <f t="shared" si="0"/>
        <v>1014</v>
      </c>
      <c r="I8" s="361">
        <f t="shared" si="1"/>
        <v>12168</v>
      </c>
      <c r="K8" s="608"/>
      <c r="L8" s="608"/>
      <c r="M8" s="608"/>
    </row>
    <row r="9" spans="3:13" ht="19.5" customHeight="1">
      <c r="C9" s="365" t="s">
        <v>438</v>
      </c>
      <c r="D9" s="359" t="s">
        <v>211</v>
      </c>
      <c r="E9" s="360">
        <v>50</v>
      </c>
      <c r="F9" s="320">
        <f>E9*12</f>
        <v>600</v>
      </c>
      <c r="G9" s="361">
        <v>24.81</v>
      </c>
      <c r="H9" s="361">
        <f t="shared" si="0"/>
        <v>1240.5</v>
      </c>
      <c r="I9" s="361">
        <f t="shared" si="1"/>
        <v>14886</v>
      </c>
      <c r="K9" s="608"/>
      <c r="L9" s="608"/>
      <c r="M9" s="608"/>
    </row>
    <row r="10" spans="3:9" ht="19.5" customHeight="1">
      <c r="C10" s="598" t="s">
        <v>204</v>
      </c>
      <c r="D10" s="599"/>
      <c r="E10" s="599"/>
      <c r="F10" s="599"/>
      <c r="G10" s="599"/>
      <c r="H10" s="599"/>
      <c r="I10" s="600"/>
    </row>
    <row r="11" spans="3:9" ht="19.5" customHeight="1">
      <c r="C11" s="366" t="s">
        <v>453</v>
      </c>
      <c r="D11" s="367" t="s">
        <v>210</v>
      </c>
      <c r="E11" s="162">
        <v>40</v>
      </c>
      <c r="F11" s="368">
        <f>E11*12</f>
        <v>480</v>
      </c>
      <c r="G11" s="361">
        <v>33.19</v>
      </c>
      <c r="H11" s="361">
        <f t="shared" si="0"/>
        <v>1327.6</v>
      </c>
      <c r="I11" s="361">
        <f t="shared" si="1"/>
        <v>15931.2</v>
      </c>
    </row>
    <row r="12" spans="3:9" ht="19.5" customHeight="1">
      <c r="C12" s="366" t="s">
        <v>454</v>
      </c>
      <c r="D12" s="367" t="s">
        <v>210</v>
      </c>
      <c r="E12" s="162">
        <v>40</v>
      </c>
      <c r="F12" s="368">
        <f aca="true" t="shared" si="2" ref="F12:F22">E12*12</f>
        <v>480</v>
      </c>
      <c r="G12" s="361">
        <v>26.45</v>
      </c>
      <c r="H12" s="361">
        <f t="shared" si="0"/>
        <v>1058</v>
      </c>
      <c r="I12" s="361">
        <f t="shared" si="1"/>
        <v>12696</v>
      </c>
    </row>
    <row r="13" spans="3:9" ht="19.5" customHeight="1">
      <c r="C13" s="366" t="s">
        <v>205</v>
      </c>
      <c r="D13" s="367" t="s">
        <v>210</v>
      </c>
      <c r="E13" s="162">
        <v>10</v>
      </c>
      <c r="F13" s="368">
        <f t="shared" si="2"/>
        <v>120</v>
      </c>
      <c r="G13" s="361">
        <v>26.12</v>
      </c>
      <c r="H13" s="361">
        <f t="shared" si="0"/>
        <v>261.2</v>
      </c>
      <c r="I13" s="361">
        <f t="shared" si="1"/>
        <v>3134.4</v>
      </c>
    </row>
    <row r="14" spans="3:9" ht="19.5" customHeight="1">
      <c r="C14" s="366" t="s">
        <v>206</v>
      </c>
      <c r="D14" s="367" t="s">
        <v>210</v>
      </c>
      <c r="E14" s="162">
        <v>10</v>
      </c>
      <c r="F14" s="368">
        <f t="shared" si="2"/>
        <v>120</v>
      </c>
      <c r="G14" s="361">
        <v>29.95</v>
      </c>
      <c r="H14" s="361">
        <f t="shared" si="0"/>
        <v>299.5</v>
      </c>
      <c r="I14" s="361">
        <f t="shared" si="1"/>
        <v>3594</v>
      </c>
    </row>
    <row r="15" spans="3:9" ht="19.5" customHeight="1">
      <c r="C15" s="366" t="s">
        <v>455</v>
      </c>
      <c r="D15" s="367" t="s">
        <v>210</v>
      </c>
      <c r="E15" s="162">
        <v>20</v>
      </c>
      <c r="F15" s="368">
        <f t="shared" si="2"/>
        <v>240</v>
      </c>
      <c r="G15" s="361">
        <v>14.07</v>
      </c>
      <c r="H15" s="361">
        <f t="shared" si="0"/>
        <v>281.4</v>
      </c>
      <c r="I15" s="361">
        <f t="shared" si="1"/>
        <v>3376.8</v>
      </c>
    </row>
    <row r="16" spans="3:9" ht="19.5" customHeight="1">
      <c r="C16" s="366" t="s">
        <v>456</v>
      </c>
      <c r="D16" s="367" t="s">
        <v>210</v>
      </c>
      <c r="E16" s="162">
        <v>20</v>
      </c>
      <c r="F16" s="368">
        <f t="shared" si="2"/>
        <v>240</v>
      </c>
      <c r="G16" s="361">
        <v>10.16</v>
      </c>
      <c r="H16" s="361">
        <f t="shared" si="0"/>
        <v>203.2</v>
      </c>
      <c r="I16" s="361">
        <f t="shared" si="1"/>
        <v>2438.4</v>
      </c>
    </row>
    <row r="17" spans="3:9" ht="19.5" customHeight="1">
      <c r="C17" s="366" t="s">
        <v>457</v>
      </c>
      <c r="D17" s="367" t="s">
        <v>210</v>
      </c>
      <c r="E17" s="162">
        <v>40</v>
      </c>
      <c r="F17" s="368">
        <f t="shared" si="2"/>
        <v>480</v>
      </c>
      <c r="G17" s="361">
        <v>20.58</v>
      </c>
      <c r="H17" s="361">
        <f t="shared" si="0"/>
        <v>823.2</v>
      </c>
      <c r="I17" s="361">
        <f t="shared" si="1"/>
        <v>9878.4</v>
      </c>
    </row>
    <row r="18" spans="3:9" ht="19.5" customHeight="1">
      <c r="C18" s="366" t="s">
        <v>458</v>
      </c>
      <c r="D18" s="367" t="s">
        <v>210</v>
      </c>
      <c r="E18" s="162">
        <v>70</v>
      </c>
      <c r="F18" s="368">
        <f t="shared" si="2"/>
        <v>840</v>
      </c>
      <c r="G18" s="361">
        <v>26.98</v>
      </c>
      <c r="H18" s="361">
        <f t="shared" si="0"/>
        <v>1888.6</v>
      </c>
      <c r="I18" s="361">
        <f t="shared" si="1"/>
        <v>22663.2</v>
      </c>
    </row>
    <row r="19" spans="3:9" ht="19.5" customHeight="1">
      <c r="C19" s="366" t="s">
        <v>459</v>
      </c>
      <c r="D19" s="367" t="s">
        <v>210</v>
      </c>
      <c r="E19" s="162">
        <v>10</v>
      </c>
      <c r="F19" s="368">
        <f t="shared" si="2"/>
        <v>120</v>
      </c>
      <c r="G19" s="361">
        <v>97</v>
      </c>
      <c r="H19" s="361">
        <f t="shared" si="0"/>
        <v>970</v>
      </c>
      <c r="I19" s="361">
        <f t="shared" si="1"/>
        <v>11640</v>
      </c>
    </row>
    <row r="20" spans="3:9" ht="19.5" customHeight="1">
      <c r="C20" s="366" t="s">
        <v>460</v>
      </c>
      <c r="D20" s="367" t="s">
        <v>210</v>
      </c>
      <c r="E20" s="162">
        <v>10</v>
      </c>
      <c r="F20" s="368">
        <f t="shared" si="2"/>
        <v>120</v>
      </c>
      <c r="G20" s="361">
        <v>40</v>
      </c>
      <c r="H20" s="361">
        <f t="shared" si="0"/>
        <v>400</v>
      </c>
      <c r="I20" s="361">
        <f t="shared" si="1"/>
        <v>4800</v>
      </c>
    </row>
    <row r="21" spans="3:9" ht="19.5" customHeight="1">
      <c r="C21" s="366" t="s">
        <v>461</v>
      </c>
      <c r="D21" s="367" t="s">
        <v>210</v>
      </c>
      <c r="E21" s="162">
        <v>30</v>
      </c>
      <c r="F21" s="368">
        <f t="shared" si="2"/>
        <v>360</v>
      </c>
      <c r="G21" s="361">
        <v>42.25</v>
      </c>
      <c r="H21" s="361">
        <f t="shared" si="0"/>
        <v>1267.5</v>
      </c>
      <c r="I21" s="361">
        <f t="shared" si="1"/>
        <v>15210</v>
      </c>
    </row>
    <row r="22" spans="3:9" ht="19.5" customHeight="1">
      <c r="C22" s="366" t="s">
        <v>462</v>
      </c>
      <c r="D22" s="367" t="s">
        <v>210</v>
      </c>
      <c r="E22" s="162">
        <v>10</v>
      </c>
      <c r="F22" s="368">
        <f t="shared" si="2"/>
        <v>120</v>
      </c>
      <c r="G22" s="361">
        <v>74</v>
      </c>
      <c r="H22" s="361">
        <f t="shared" si="0"/>
        <v>740</v>
      </c>
      <c r="I22" s="361">
        <f t="shared" si="1"/>
        <v>8880</v>
      </c>
    </row>
    <row r="23" spans="3:9" ht="19.5" customHeight="1">
      <c r="C23" s="598" t="s">
        <v>207</v>
      </c>
      <c r="D23" s="599"/>
      <c r="E23" s="599"/>
      <c r="F23" s="599"/>
      <c r="G23" s="599"/>
      <c r="H23" s="599"/>
      <c r="I23" s="600"/>
    </row>
    <row r="24" spans="3:13" ht="19.5" customHeight="1">
      <c r="C24" s="369" t="s">
        <v>439</v>
      </c>
      <c r="D24" s="359" t="s">
        <v>211</v>
      </c>
      <c r="E24" s="370">
        <v>1500</v>
      </c>
      <c r="F24" s="371">
        <f>E24*12</f>
        <v>18000</v>
      </c>
      <c r="G24" s="361">
        <v>33.02</v>
      </c>
      <c r="H24" s="361">
        <f t="shared" si="0"/>
        <v>49530</v>
      </c>
      <c r="I24" s="361">
        <f t="shared" si="1"/>
        <v>594360</v>
      </c>
      <c r="K24" s="608"/>
      <c r="L24" s="608"/>
      <c r="M24" s="608"/>
    </row>
    <row r="25" spans="3:9" ht="19.5" customHeight="1">
      <c r="C25" s="369" t="s">
        <v>208</v>
      </c>
      <c r="D25" s="359" t="s">
        <v>211</v>
      </c>
      <c r="E25" s="370">
        <v>250</v>
      </c>
      <c r="F25" s="371">
        <f>E25*12</f>
        <v>3000</v>
      </c>
      <c r="G25" s="361">
        <v>17.23</v>
      </c>
      <c r="H25" s="361">
        <f t="shared" si="0"/>
        <v>4307.5</v>
      </c>
      <c r="I25" s="361">
        <f t="shared" si="1"/>
        <v>51690</v>
      </c>
    </row>
    <row r="26" spans="3:9" ht="19.5" customHeight="1">
      <c r="C26" s="598" t="s">
        <v>110</v>
      </c>
      <c r="D26" s="599"/>
      <c r="E26" s="599"/>
      <c r="F26" s="599"/>
      <c r="G26" s="599"/>
      <c r="H26" s="599"/>
      <c r="I26" s="600"/>
    </row>
    <row r="27" spans="3:9" ht="19.5" customHeight="1">
      <c r="C27" s="381" t="s">
        <v>475</v>
      </c>
      <c r="D27" s="372" t="s">
        <v>212</v>
      </c>
      <c r="E27" s="370">
        <v>140</v>
      </c>
      <c r="F27" s="320">
        <f>E27*12</f>
        <v>1680</v>
      </c>
      <c r="G27" s="361">
        <v>7.48</v>
      </c>
      <c r="H27" s="361">
        <f t="shared" si="0"/>
        <v>1047.2</v>
      </c>
      <c r="I27" s="361">
        <f t="shared" si="1"/>
        <v>12566.4</v>
      </c>
    </row>
    <row r="28" spans="3:9" ht="19.5" customHeight="1" hidden="1">
      <c r="C28" s="369" t="s">
        <v>463</v>
      </c>
      <c r="D28" s="372" t="s">
        <v>212</v>
      </c>
      <c r="E28" s="370">
        <v>0</v>
      </c>
      <c r="F28" s="320">
        <f aca="true" t="shared" si="3" ref="F28:F40">E28*12</f>
        <v>0</v>
      </c>
      <c r="G28" s="361"/>
      <c r="H28" s="361">
        <f t="shared" si="0"/>
        <v>0</v>
      </c>
      <c r="I28" s="361">
        <f t="shared" si="1"/>
        <v>0</v>
      </c>
    </row>
    <row r="29" spans="3:9" ht="19.5" customHeight="1">
      <c r="C29" s="369" t="s">
        <v>464</v>
      </c>
      <c r="D29" s="372" t="s">
        <v>212</v>
      </c>
      <c r="E29" s="370">
        <v>400</v>
      </c>
      <c r="F29" s="320">
        <f t="shared" si="3"/>
        <v>4800</v>
      </c>
      <c r="G29" s="361">
        <v>1.1</v>
      </c>
      <c r="H29" s="361">
        <f t="shared" si="0"/>
        <v>440</v>
      </c>
      <c r="I29" s="361">
        <f t="shared" si="1"/>
        <v>5280</v>
      </c>
    </row>
    <row r="30" spans="3:11" ht="19.5" customHeight="1">
      <c r="C30" s="369" t="s">
        <v>465</v>
      </c>
      <c r="D30" s="372" t="s">
        <v>212</v>
      </c>
      <c r="E30" s="370">
        <v>425</v>
      </c>
      <c r="F30" s="320">
        <f t="shared" si="3"/>
        <v>5100</v>
      </c>
      <c r="G30" s="361">
        <v>4.03</v>
      </c>
      <c r="H30" s="361">
        <f t="shared" si="0"/>
        <v>1712.75</v>
      </c>
      <c r="I30" s="361">
        <f t="shared" si="1"/>
        <v>20553</v>
      </c>
      <c r="J30" s="319"/>
      <c r="K30" s="335"/>
    </row>
    <row r="31" spans="3:9" ht="19.5" customHeight="1">
      <c r="C31" s="369" t="s">
        <v>466</v>
      </c>
      <c r="D31" s="372" t="s">
        <v>212</v>
      </c>
      <c r="E31" s="370">
        <v>527</v>
      </c>
      <c r="F31" s="320">
        <f>E31*12</f>
        <v>6324</v>
      </c>
      <c r="G31" s="361">
        <v>5.38</v>
      </c>
      <c r="H31" s="361">
        <f t="shared" si="0"/>
        <v>2835.26</v>
      </c>
      <c r="I31" s="361">
        <f t="shared" si="1"/>
        <v>34023.12</v>
      </c>
    </row>
    <row r="32" spans="3:9" ht="19.5" customHeight="1">
      <c r="C32" s="369" t="s">
        <v>209</v>
      </c>
      <c r="D32" s="372" t="s">
        <v>212</v>
      </c>
      <c r="E32" s="370">
        <v>60</v>
      </c>
      <c r="F32" s="320">
        <f t="shared" si="3"/>
        <v>720</v>
      </c>
      <c r="G32" s="361">
        <v>3.69</v>
      </c>
      <c r="H32" s="361">
        <f t="shared" si="0"/>
        <v>221.4</v>
      </c>
      <c r="I32" s="361">
        <f t="shared" si="1"/>
        <v>2656.8</v>
      </c>
    </row>
    <row r="33" spans="3:9" ht="19.5" customHeight="1">
      <c r="C33" s="369" t="s">
        <v>467</v>
      </c>
      <c r="D33" s="372" t="s">
        <v>212</v>
      </c>
      <c r="E33" s="373">
        <v>120</v>
      </c>
      <c r="F33" s="320">
        <f t="shared" si="3"/>
        <v>1440</v>
      </c>
      <c r="G33" s="379">
        <v>8.02</v>
      </c>
      <c r="H33" s="361">
        <f t="shared" si="0"/>
        <v>962.4</v>
      </c>
      <c r="I33" s="361">
        <f t="shared" si="1"/>
        <v>11548.8</v>
      </c>
    </row>
    <row r="34" spans="3:9" ht="19.5" customHeight="1">
      <c r="C34" s="369" t="s">
        <v>468</v>
      </c>
      <c r="D34" s="372" t="s">
        <v>212</v>
      </c>
      <c r="E34" s="374">
        <v>80</v>
      </c>
      <c r="F34" s="320">
        <f t="shared" si="3"/>
        <v>960</v>
      </c>
      <c r="G34" s="380">
        <v>8.94</v>
      </c>
      <c r="H34" s="361">
        <f t="shared" si="0"/>
        <v>715.2</v>
      </c>
      <c r="I34" s="361">
        <f t="shared" si="1"/>
        <v>8582.4</v>
      </c>
    </row>
    <row r="35" spans="3:9" ht="19.5" customHeight="1">
      <c r="C35" s="369" t="s">
        <v>469</v>
      </c>
      <c r="D35" s="372" t="s">
        <v>212</v>
      </c>
      <c r="E35" s="374">
        <v>50</v>
      </c>
      <c r="F35" s="320">
        <f t="shared" si="3"/>
        <v>600</v>
      </c>
      <c r="G35" s="380">
        <v>9</v>
      </c>
      <c r="H35" s="361">
        <f t="shared" si="0"/>
        <v>450</v>
      </c>
      <c r="I35" s="361">
        <f t="shared" si="1"/>
        <v>5400</v>
      </c>
    </row>
    <row r="36" spans="3:9" ht="19.5" customHeight="1">
      <c r="C36" s="369" t="s">
        <v>470</v>
      </c>
      <c r="D36" s="372" t="s">
        <v>212</v>
      </c>
      <c r="E36" s="374">
        <v>110</v>
      </c>
      <c r="F36" s="320">
        <f t="shared" si="3"/>
        <v>1320</v>
      </c>
      <c r="G36" s="380">
        <v>9.2</v>
      </c>
      <c r="H36" s="361">
        <f t="shared" si="0"/>
        <v>1012</v>
      </c>
      <c r="I36" s="361">
        <f t="shared" si="1"/>
        <v>12144</v>
      </c>
    </row>
    <row r="37" spans="3:9" ht="19.5" customHeight="1">
      <c r="C37" s="369" t="s">
        <v>471</v>
      </c>
      <c r="D37" s="372" t="s">
        <v>212</v>
      </c>
      <c r="E37" s="374">
        <v>110</v>
      </c>
      <c r="F37" s="320">
        <f t="shared" si="3"/>
        <v>1320</v>
      </c>
      <c r="G37" s="380">
        <v>8.06</v>
      </c>
      <c r="H37" s="361">
        <f>G37*E37</f>
        <v>886.6</v>
      </c>
      <c r="I37" s="361">
        <f>G37*F37</f>
        <v>10639.2</v>
      </c>
    </row>
    <row r="38" spans="3:9" ht="19.5" customHeight="1">
      <c r="C38" s="369" t="s">
        <v>472</v>
      </c>
      <c r="D38" s="372" t="s">
        <v>212</v>
      </c>
      <c r="E38" s="374">
        <v>10</v>
      </c>
      <c r="F38" s="320">
        <f t="shared" si="3"/>
        <v>120</v>
      </c>
      <c r="G38" s="380">
        <v>30.22</v>
      </c>
      <c r="H38" s="361">
        <f>G38*E38</f>
        <v>302.2</v>
      </c>
      <c r="I38" s="361">
        <f>G38*F38</f>
        <v>3626.4</v>
      </c>
    </row>
    <row r="39" spans="3:9" ht="19.5" customHeight="1">
      <c r="C39" s="369" t="s">
        <v>473</v>
      </c>
      <c r="D39" s="372" t="s">
        <v>212</v>
      </c>
      <c r="E39" s="374">
        <v>10</v>
      </c>
      <c r="F39" s="320">
        <f t="shared" si="3"/>
        <v>120</v>
      </c>
      <c r="G39" s="380">
        <v>55.5</v>
      </c>
      <c r="H39" s="361">
        <f t="shared" si="0"/>
        <v>555</v>
      </c>
      <c r="I39" s="361">
        <f t="shared" si="1"/>
        <v>6660</v>
      </c>
    </row>
    <row r="40" spans="3:9" ht="19.5" customHeight="1">
      <c r="C40" s="369" t="s">
        <v>474</v>
      </c>
      <c r="D40" s="372" t="s">
        <v>212</v>
      </c>
      <c r="E40" s="374">
        <v>10</v>
      </c>
      <c r="F40" s="320">
        <f t="shared" si="3"/>
        <v>120</v>
      </c>
      <c r="G40" s="380">
        <v>46.23</v>
      </c>
      <c r="H40" s="361">
        <f t="shared" si="0"/>
        <v>462.3</v>
      </c>
      <c r="I40" s="361">
        <f t="shared" si="1"/>
        <v>5547.6</v>
      </c>
    </row>
    <row r="41" spans="3:13" ht="24" customHeight="1">
      <c r="C41" s="375"/>
      <c r="D41" s="375"/>
      <c r="E41" s="375"/>
      <c r="F41" s="375"/>
      <c r="G41" s="375"/>
      <c r="H41" s="376">
        <f>SUM(H6:H40)</f>
        <v>81435.51</v>
      </c>
      <c r="I41" s="376">
        <f>SUM(I11:I40)</f>
        <v>899520.12</v>
      </c>
      <c r="J41" s="375"/>
      <c r="K41" s="375"/>
      <c r="L41" s="375"/>
      <c r="M41" s="375"/>
    </row>
    <row r="42" spans="3:13" ht="15" customHeight="1">
      <c r="C42" s="377"/>
      <c r="D42" s="377"/>
      <c r="E42" s="377"/>
      <c r="F42" s="377"/>
      <c r="G42" s="377"/>
      <c r="H42" s="377"/>
      <c r="I42" s="377"/>
      <c r="J42" s="377"/>
      <c r="K42" s="377"/>
      <c r="L42" s="377"/>
      <c r="M42" s="353"/>
    </row>
    <row r="43" spans="3:13" ht="12.75" customHeight="1">
      <c r="C43" s="587"/>
      <c r="D43" s="587"/>
      <c r="E43" s="587"/>
      <c r="F43" s="587"/>
      <c r="G43" s="587"/>
      <c r="H43" s="587"/>
      <c r="I43" s="587"/>
      <c r="J43" s="587"/>
      <c r="K43" s="587"/>
      <c r="L43" s="587"/>
      <c r="M43" s="353"/>
    </row>
    <row r="44" spans="3:13" ht="19.5" customHeight="1">
      <c r="C44" s="354"/>
      <c r="D44" s="378"/>
      <c r="E44" s="354"/>
      <c r="F44" s="354"/>
      <c r="G44" s="354"/>
      <c r="H44" s="354"/>
      <c r="I44" s="354"/>
      <c r="J44" s="355"/>
      <c r="K44" s="355"/>
      <c r="L44" s="355"/>
      <c r="M44" s="356"/>
    </row>
    <row r="45" spans="3:13" ht="19.5" customHeight="1">
      <c r="C45" s="585"/>
      <c r="D45" s="585"/>
      <c r="E45" s="585"/>
      <c r="F45" s="585"/>
      <c r="G45" s="585"/>
      <c r="H45" s="585"/>
      <c r="I45" s="585"/>
      <c r="J45" s="585"/>
      <c r="K45" s="585"/>
      <c r="L45" s="585"/>
      <c r="M45" s="585"/>
    </row>
    <row r="47" spans="3:8" ht="19.5" customHeight="1">
      <c r="C47" s="91"/>
      <c r="D47" s="91"/>
      <c r="E47" s="91"/>
      <c r="F47" s="91"/>
      <c r="G47" s="91"/>
      <c r="H47" s="91"/>
    </row>
    <row r="48" spans="3:8" ht="19.5" customHeight="1">
      <c r="C48" s="91"/>
      <c r="D48" s="91"/>
      <c r="E48" s="91"/>
      <c r="F48" s="91"/>
      <c r="G48" s="91"/>
      <c r="H48" s="91"/>
    </row>
    <row r="49" spans="3:8" ht="19.5" customHeight="1">
      <c r="C49" s="91"/>
      <c r="D49" s="91"/>
      <c r="E49" s="91"/>
      <c r="F49" s="91"/>
      <c r="G49" s="91"/>
      <c r="H49" s="91"/>
    </row>
  </sheetData>
  <sheetProtection/>
  <mergeCells count="13">
    <mergeCell ref="K24:M24"/>
    <mergeCell ref="K8:M8"/>
    <mergeCell ref="K9:M9"/>
    <mergeCell ref="C45:M45"/>
    <mergeCell ref="C26:I26"/>
    <mergeCell ref="C43:L43"/>
    <mergeCell ref="C4:I4"/>
    <mergeCell ref="C10:I10"/>
    <mergeCell ref="C1:I2"/>
    <mergeCell ref="C3:I3"/>
    <mergeCell ref="C23:I23"/>
    <mergeCell ref="K6:M6"/>
    <mergeCell ref="K7:M7"/>
  </mergeCells>
  <printOptions horizontalCentered="1"/>
  <pageMargins left="0.1968503937007874" right="0.1968503937007874" top="0.2755905511811024" bottom="1.1811023622047245" header="0.5118110236220472" footer="0.5118110236220472"/>
  <pageSetup horizontalDpi="600" verticalDpi="600" orientation="landscape" paperSize="8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181"/>
  <sheetViews>
    <sheetView showGridLines="0" view="pageBreakPreview" zoomScale="130" zoomScaleSheetLayoutView="130" zoomScalePageLayoutView="0" workbookViewId="0" topLeftCell="A89">
      <selection activeCell="H183" sqref="H183"/>
    </sheetView>
  </sheetViews>
  <sheetFormatPr defaultColWidth="8.7109375" defaultRowHeight="19.5" customHeight="1"/>
  <cols>
    <col min="1" max="1" width="2.7109375" style="34" customWidth="1"/>
    <col min="2" max="2" width="3.28125" style="38" customWidth="1"/>
    <col min="3" max="3" width="13.7109375" style="34" customWidth="1"/>
    <col min="4" max="4" width="16.57421875" style="35" customWidth="1"/>
    <col min="5" max="5" width="12.8515625" style="34" customWidth="1"/>
    <col min="6" max="6" width="10.7109375" style="35" customWidth="1"/>
    <col min="7" max="7" width="16.28125" style="34" customWidth="1"/>
    <col min="8" max="8" width="10.7109375" style="35" customWidth="1"/>
    <col min="9" max="9" width="16.7109375" style="34" customWidth="1"/>
    <col min="10" max="10" width="14.421875" style="35" customWidth="1"/>
    <col min="11" max="11" width="4.7109375" style="34" customWidth="1"/>
    <col min="12" max="12" width="4.421875" style="35" customWidth="1"/>
    <col min="13" max="13" width="7.8515625" style="34" customWidth="1"/>
    <col min="14" max="14" width="4.7109375" style="35" customWidth="1"/>
    <col min="15" max="15" width="11.28125" style="34" customWidth="1"/>
    <col min="16" max="16384" width="8.7109375" style="34" customWidth="1"/>
  </cols>
  <sheetData>
    <row r="1" spans="2:15" s="20" customFormat="1" ht="21.75" customHeight="1">
      <c r="B1" s="17"/>
      <c r="C1" s="400" t="s">
        <v>213</v>
      </c>
      <c r="D1" s="401"/>
      <c r="E1" s="401"/>
      <c r="F1" s="401"/>
      <c r="G1" s="401"/>
      <c r="H1" s="401"/>
      <c r="I1" s="401"/>
      <c r="J1" s="402"/>
      <c r="K1" s="18"/>
      <c r="L1" s="18"/>
      <c r="M1" s="17"/>
      <c r="N1" s="19"/>
      <c r="O1" s="19"/>
    </row>
    <row r="2" spans="2:15" s="20" customFormat="1" ht="17.25" customHeight="1">
      <c r="B2" s="17"/>
      <c r="C2" s="21"/>
      <c r="D2" s="21"/>
      <c r="E2" s="21"/>
      <c r="F2" s="21"/>
      <c r="G2" s="21"/>
      <c r="H2" s="21"/>
      <c r="I2" s="21"/>
      <c r="J2" s="21"/>
      <c r="K2" s="21"/>
      <c r="L2" s="21"/>
      <c r="M2" s="17"/>
      <c r="N2" s="19"/>
      <c r="O2" s="19"/>
    </row>
    <row r="3" spans="3:14" s="20" customFormat="1" ht="45" customHeight="1">
      <c r="C3" s="22" t="s">
        <v>130</v>
      </c>
      <c r="D3" s="403" t="str">
        <f>'Planilha de Preços'!B4</f>
        <v>EQUIPE PADRÃO PARA FORNECIMENTO DE MUDAS E PLANTIO DE ESPÉCIES GRAMÍNEAS, ARBÓREAS, FRUTÍFERAS, ORNAMENTAIS, ARBUSTIVAS E FORRAGEIRAS EM PRAÇAS, PARQUES, JARDINS E CANTEIROS DO MUNICÍPIO.</v>
      </c>
      <c r="E3" s="403"/>
      <c r="F3" s="403"/>
      <c r="G3" s="403"/>
      <c r="H3" s="403"/>
      <c r="I3" s="403"/>
      <c r="J3" s="404"/>
      <c r="K3" s="23"/>
      <c r="L3" s="24"/>
      <c r="M3" s="25"/>
      <c r="N3" s="26"/>
    </row>
    <row r="4" spans="3:14" s="20" customFormat="1" ht="18" customHeight="1">
      <c r="C4" s="27"/>
      <c r="D4" s="27"/>
      <c r="E4" s="27"/>
      <c r="F4" s="27"/>
      <c r="G4" s="27"/>
      <c r="H4" s="27"/>
      <c r="I4" s="27"/>
      <c r="J4" s="28">
        <v>44621</v>
      </c>
      <c r="K4" s="29"/>
      <c r="L4" s="29"/>
      <c r="N4" s="26"/>
    </row>
    <row r="5" spans="2:14" ht="15" customHeight="1">
      <c r="B5" s="30"/>
      <c r="C5" s="35"/>
      <c r="E5" s="35"/>
      <c r="G5" s="36"/>
      <c r="H5" s="36"/>
      <c r="I5" s="37"/>
      <c r="J5" s="37"/>
      <c r="K5" s="31"/>
      <c r="L5" s="32"/>
      <c r="M5" s="33"/>
      <c r="N5" s="33"/>
    </row>
    <row r="6" spans="3:11" ht="15" customHeight="1">
      <c r="C6" s="442" t="s">
        <v>34</v>
      </c>
      <c r="D6" s="443"/>
      <c r="E6" s="443"/>
      <c r="F6" s="443"/>
      <c r="G6" s="444"/>
      <c r="H6" s="446" t="s">
        <v>88</v>
      </c>
      <c r="I6" s="447"/>
      <c r="J6" s="445"/>
      <c r="K6" s="445"/>
    </row>
    <row r="7" spans="3:11" ht="15" customHeight="1">
      <c r="C7" s="449" t="s">
        <v>214</v>
      </c>
      <c r="D7" s="450"/>
      <c r="E7" s="450"/>
      <c r="F7" s="450"/>
      <c r="G7" s="451"/>
      <c r="H7" s="392">
        <v>1</v>
      </c>
      <c r="I7" s="393"/>
      <c r="J7" s="448"/>
      <c r="K7" s="448"/>
    </row>
    <row r="8" spans="3:11" ht="15" customHeight="1">
      <c r="C8" s="449" t="s">
        <v>119</v>
      </c>
      <c r="D8" s="450"/>
      <c r="E8" s="450"/>
      <c r="F8" s="450"/>
      <c r="G8" s="451"/>
      <c r="H8" s="392">
        <v>3</v>
      </c>
      <c r="I8" s="393"/>
      <c r="J8" s="43"/>
      <c r="K8" s="43"/>
    </row>
    <row r="9" spans="3:11" ht="15" customHeight="1">
      <c r="C9" s="453" t="s">
        <v>1</v>
      </c>
      <c r="D9" s="454"/>
      <c r="E9" s="454"/>
      <c r="F9" s="454"/>
      <c r="G9" s="455"/>
      <c r="H9" s="456">
        <f>SUM(H7:I8)</f>
        <v>4</v>
      </c>
      <c r="I9" s="457"/>
      <c r="J9" s="461"/>
      <c r="K9" s="461"/>
    </row>
    <row r="10" spans="3:11" ht="9" customHeight="1">
      <c r="C10" s="44"/>
      <c r="D10" s="44"/>
      <c r="E10" s="44"/>
      <c r="F10" s="44"/>
      <c r="G10" s="44"/>
      <c r="H10" s="45"/>
      <c r="I10" s="45"/>
      <c r="J10" s="43"/>
      <c r="K10" s="43"/>
    </row>
    <row r="11" ht="15" customHeight="1">
      <c r="C11" s="46" t="s">
        <v>35</v>
      </c>
    </row>
    <row r="12" ht="15" customHeight="1"/>
    <row r="13" spans="3:11" ht="15" customHeight="1">
      <c r="C13" s="458" t="s">
        <v>215</v>
      </c>
      <c r="D13" s="459"/>
      <c r="E13" s="459"/>
      <c r="F13" s="459"/>
      <c r="G13" s="459"/>
      <c r="H13" s="459"/>
      <c r="I13" s="459"/>
      <c r="J13" s="459"/>
      <c r="K13" s="460"/>
    </row>
    <row r="14" spans="3:11" ht="15" customHeight="1">
      <c r="C14" s="453" t="s">
        <v>12</v>
      </c>
      <c r="D14" s="454"/>
      <c r="E14" s="454"/>
      <c r="F14" s="455"/>
      <c r="G14" s="47" t="s">
        <v>42</v>
      </c>
      <c r="H14" s="452" t="s">
        <v>45</v>
      </c>
      <c r="I14" s="452"/>
      <c r="J14" s="452" t="s">
        <v>46</v>
      </c>
      <c r="K14" s="452"/>
    </row>
    <row r="15" spans="3:11" ht="15" customHeight="1">
      <c r="C15" s="422" t="s">
        <v>219</v>
      </c>
      <c r="D15" s="423"/>
      <c r="E15" s="423"/>
      <c r="F15" s="424"/>
      <c r="G15" s="51">
        <v>6</v>
      </c>
      <c r="H15" s="395">
        <f>Insumos!D69</f>
        <v>41.67</v>
      </c>
      <c r="I15" s="396"/>
      <c r="J15" s="395">
        <f aca="true" t="shared" si="0" ref="J15:J23">ROUND(G15*H15,2)</f>
        <v>250.02</v>
      </c>
      <c r="K15" s="396"/>
    </row>
    <row r="16" spans="3:11" ht="15" customHeight="1">
      <c r="C16" s="422" t="s">
        <v>218</v>
      </c>
      <c r="D16" s="423"/>
      <c r="E16" s="423"/>
      <c r="F16" s="424"/>
      <c r="G16" s="51">
        <v>6</v>
      </c>
      <c r="H16" s="395">
        <f>Insumos!D67</f>
        <v>82.75</v>
      </c>
      <c r="I16" s="396"/>
      <c r="J16" s="395">
        <f t="shared" si="0"/>
        <v>496.5</v>
      </c>
      <c r="K16" s="396"/>
    </row>
    <row r="17" spans="3:11" ht="15" customHeight="1">
      <c r="C17" s="422" t="s">
        <v>129</v>
      </c>
      <c r="D17" s="423"/>
      <c r="E17" s="423"/>
      <c r="F17" s="424"/>
      <c r="G17" s="51">
        <v>3</v>
      </c>
      <c r="H17" s="395">
        <f>Insumos!D71</f>
        <v>38.28</v>
      </c>
      <c r="I17" s="396"/>
      <c r="J17" s="395">
        <f t="shared" si="0"/>
        <v>114.84</v>
      </c>
      <c r="K17" s="396"/>
    </row>
    <row r="18" spans="3:11" ht="15" customHeight="1">
      <c r="C18" s="422" t="s">
        <v>17</v>
      </c>
      <c r="D18" s="423"/>
      <c r="E18" s="423"/>
      <c r="F18" s="424"/>
      <c r="G18" s="51">
        <v>3</v>
      </c>
      <c r="H18" s="395">
        <f>Insumos!D79</f>
        <v>41.8</v>
      </c>
      <c r="I18" s="396"/>
      <c r="J18" s="395">
        <f t="shared" si="0"/>
        <v>125.4</v>
      </c>
      <c r="K18" s="396"/>
    </row>
    <row r="19" spans="3:11" ht="15" customHeight="1">
      <c r="C19" s="430" t="s">
        <v>79</v>
      </c>
      <c r="D19" s="431"/>
      <c r="E19" s="431"/>
      <c r="F19" s="432"/>
      <c r="G19" s="57">
        <v>1</v>
      </c>
      <c r="H19" s="433">
        <f>Insumos!D85</f>
        <v>27.33</v>
      </c>
      <c r="I19" s="434"/>
      <c r="J19" s="433">
        <f t="shared" si="0"/>
        <v>27.33</v>
      </c>
      <c r="K19" s="434"/>
    </row>
    <row r="20" spans="3:11" ht="15" customHeight="1">
      <c r="C20" s="54" t="s">
        <v>220</v>
      </c>
      <c r="D20" s="55"/>
      <c r="E20" s="55"/>
      <c r="F20" s="56"/>
      <c r="G20" s="58">
        <v>3</v>
      </c>
      <c r="H20" s="395">
        <f>Insumos!D75</f>
        <v>9.93</v>
      </c>
      <c r="I20" s="396"/>
      <c r="J20" s="433">
        <f t="shared" si="0"/>
        <v>29.79</v>
      </c>
      <c r="K20" s="434"/>
    </row>
    <row r="21" spans="3:11" ht="15" customHeight="1">
      <c r="C21" s="54" t="s">
        <v>217</v>
      </c>
      <c r="D21" s="55"/>
      <c r="E21" s="55"/>
      <c r="F21" s="56"/>
      <c r="G21" s="58">
        <v>3</v>
      </c>
      <c r="H21" s="395">
        <f>Insumos!D76</f>
        <v>3.85</v>
      </c>
      <c r="I21" s="396"/>
      <c r="J21" s="433">
        <f t="shared" si="0"/>
        <v>11.55</v>
      </c>
      <c r="K21" s="434"/>
    </row>
    <row r="22" spans="3:11" ht="15" customHeight="1">
      <c r="C22" s="54" t="s">
        <v>216</v>
      </c>
      <c r="D22" s="55"/>
      <c r="E22" s="55"/>
      <c r="F22" s="56"/>
      <c r="G22" s="58">
        <v>3</v>
      </c>
      <c r="H22" s="395">
        <f>Insumos!D72</f>
        <v>29.29</v>
      </c>
      <c r="I22" s="396"/>
      <c r="J22" s="433">
        <f t="shared" si="0"/>
        <v>87.87</v>
      </c>
      <c r="K22" s="434"/>
    </row>
    <row r="23" spans="3:11" ht="15" customHeight="1">
      <c r="C23" s="435" t="s">
        <v>221</v>
      </c>
      <c r="D23" s="436"/>
      <c r="E23" s="436"/>
      <c r="F23" s="437"/>
      <c r="G23" s="52">
        <v>6</v>
      </c>
      <c r="H23" s="395">
        <f>Insumos!D82</f>
        <v>14.45</v>
      </c>
      <c r="I23" s="396"/>
      <c r="J23" s="433">
        <f t="shared" si="0"/>
        <v>86.7</v>
      </c>
      <c r="K23" s="434"/>
    </row>
    <row r="24" spans="1:15" s="35" customFormat="1" ht="15" customHeight="1">
      <c r="A24" s="34"/>
      <c r="B24" s="38"/>
      <c r="C24" s="441" t="s">
        <v>261</v>
      </c>
      <c r="D24" s="441"/>
      <c r="E24" s="441"/>
      <c r="F24" s="441"/>
      <c r="G24" s="52">
        <v>2</v>
      </c>
      <c r="H24" s="395">
        <f>Insumos!D73</f>
        <v>32.51</v>
      </c>
      <c r="I24" s="396"/>
      <c r="J24" s="395">
        <f>ROUND(G24*H24,2)</f>
        <v>65.02</v>
      </c>
      <c r="K24" s="396"/>
      <c r="M24" s="34"/>
      <c r="O24" s="34"/>
    </row>
    <row r="25" spans="3:11" ht="15" customHeight="1">
      <c r="C25" s="422" t="s">
        <v>44</v>
      </c>
      <c r="D25" s="423"/>
      <c r="E25" s="423"/>
      <c r="F25" s="423"/>
      <c r="G25" s="423"/>
      <c r="H25" s="423"/>
      <c r="I25" s="424"/>
      <c r="J25" s="425">
        <f>SUM(J15:K24)</f>
        <v>1295.02</v>
      </c>
      <c r="K25" s="426"/>
    </row>
    <row r="26" spans="3:11" ht="15" customHeight="1">
      <c r="C26" s="438" t="s">
        <v>47</v>
      </c>
      <c r="D26" s="439"/>
      <c r="E26" s="439"/>
      <c r="F26" s="439"/>
      <c r="G26" s="439"/>
      <c r="H26" s="439"/>
      <c r="I26" s="440"/>
      <c r="J26" s="468">
        <f>ROUND(J25/12,2)</f>
        <v>107.92</v>
      </c>
      <c r="K26" s="469"/>
    </row>
    <row r="27" spans="2:13" ht="15" customHeight="1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3:11" ht="15" customHeight="1">
      <c r="C28" s="63"/>
      <c r="D28" s="63"/>
      <c r="E28" s="63"/>
      <c r="F28" s="63"/>
      <c r="G28" s="63"/>
      <c r="H28" s="63"/>
      <c r="I28" s="63"/>
      <c r="J28" s="64"/>
      <c r="K28" s="64"/>
    </row>
    <row r="29" spans="3:11" ht="15" customHeight="1">
      <c r="C29" s="65" t="s">
        <v>222</v>
      </c>
      <c r="D29" s="66"/>
      <c r="E29" s="67"/>
      <c r="F29" s="66"/>
      <c r="G29" s="67"/>
      <c r="H29" s="66"/>
      <c r="I29" s="68"/>
      <c r="J29" s="69"/>
      <c r="K29" s="70"/>
    </row>
    <row r="30" spans="3:9" ht="15" customHeight="1">
      <c r="C30" s="71" t="s">
        <v>11</v>
      </c>
      <c r="D30" s="72"/>
      <c r="E30" s="73">
        <v>1</v>
      </c>
      <c r="F30" s="72" t="s">
        <v>9</v>
      </c>
      <c r="G30" s="74">
        <v>3500</v>
      </c>
      <c r="H30" s="72" t="s">
        <v>10</v>
      </c>
      <c r="I30" s="75">
        <f aca="true" t="shared" si="1" ref="I30:I35">ROUND(E30*G30,2)</f>
        <v>3500</v>
      </c>
    </row>
    <row r="31" spans="3:11" ht="15" customHeight="1">
      <c r="C31" s="71" t="s">
        <v>2</v>
      </c>
      <c r="D31" s="72"/>
      <c r="E31" s="76">
        <v>0</v>
      </c>
      <c r="F31" s="72" t="s">
        <v>9</v>
      </c>
      <c r="G31" s="74">
        <f>Insumos!D19</f>
        <v>1212</v>
      </c>
      <c r="H31" s="72" t="s">
        <v>10</v>
      </c>
      <c r="I31" s="75">
        <f t="shared" si="1"/>
        <v>0</v>
      </c>
      <c r="J31" s="394"/>
      <c r="K31" s="394"/>
    </row>
    <row r="32" spans="3:9" ht="15" customHeight="1">
      <c r="C32" s="71" t="s">
        <v>36</v>
      </c>
      <c r="D32" s="72"/>
      <c r="E32" s="77">
        <v>0</v>
      </c>
      <c r="F32" s="72" t="s">
        <v>9</v>
      </c>
      <c r="G32" s="74">
        <f>ROUND(G30/220*1.5,2)</f>
        <v>23.86</v>
      </c>
      <c r="H32" s="72" t="s">
        <v>10</v>
      </c>
      <c r="I32" s="75">
        <f t="shared" si="1"/>
        <v>0</v>
      </c>
    </row>
    <row r="33" spans="3:9" ht="15" customHeight="1" hidden="1">
      <c r="C33" s="71" t="s">
        <v>68</v>
      </c>
      <c r="D33" s="72"/>
      <c r="E33" s="77">
        <v>0</v>
      </c>
      <c r="F33" s="72" t="s">
        <v>9</v>
      </c>
      <c r="G33" s="74">
        <f>ROUND((G30/220)*2,2)</f>
        <v>31.82</v>
      </c>
      <c r="H33" s="72" t="s">
        <v>10</v>
      </c>
      <c r="I33" s="75">
        <f t="shared" si="1"/>
        <v>0</v>
      </c>
    </row>
    <row r="34" spans="3:9" ht="15" customHeight="1" hidden="1">
      <c r="C34" s="71" t="s">
        <v>70</v>
      </c>
      <c r="D34" s="72"/>
      <c r="E34" s="77">
        <v>0</v>
      </c>
      <c r="F34" s="72" t="s">
        <v>9</v>
      </c>
      <c r="G34" s="74">
        <f>Insumos!D13</f>
        <v>9696</v>
      </c>
      <c r="H34" s="72" t="s">
        <v>10</v>
      </c>
      <c r="I34" s="75">
        <f t="shared" si="1"/>
        <v>0</v>
      </c>
    </row>
    <row r="35" spans="3:10" ht="15" customHeight="1">
      <c r="C35" s="71" t="s">
        <v>38</v>
      </c>
      <c r="D35" s="72"/>
      <c r="E35" s="78">
        <f>'COMPOSIÇÃO DOS ENCARGOS '!C43</f>
        <v>0.776</v>
      </c>
      <c r="F35" s="72" t="s">
        <v>9</v>
      </c>
      <c r="G35" s="79">
        <f>SUM(I30:I34)</f>
        <v>3500</v>
      </c>
      <c r="H35" s="72" t="s">
        <v>10</v>
      </c>
      <c r="I35" s="75">
        <f t="shared" si="1"/>
        <v>2716</v>
      </c>
      <c r="J35" s="39"/>
    </row>
    <row r="36" spans="3:10" ht="15" customHeight="1">
      <c r="C36" s="80" t="s">
        <v>40</v>
      </c>
      <c r="D36" s="72"/>
      <c r="E36" s="81"/>
      <c r="F36" s="72"/>
      <c r="G36" s="79"/>
      <c r="H36" s="72"/>
      <c r="I36" s="82">
        <f>SUM(I30:I35)</f>
        <v>6216</v>
      </c>
      <c r="J36" s="39"/>
    </row>
    <row r="37" spans="3:10" ht="15" customHeight="1">
      <c r="C37" s="71" t="s">
        <v>39</v>
      </c>
      <c r="D37" s="72"/>
      <c r="E37" s="73">
        <v>22</v>
      </c>
      <c r="F37" s="72" t="s">
        <v>9</v>
      </c>
      <c r="G37" s="79">
        <f>Insumos!D96</f>
        <v>15.23</v>
      </c>
      <c r="H37" s="72" t="s">
        <v>10</v>
      </c>
      <c r="I37" s="75">
        <f aca="true" t="shared" si="2" ref="I37:I42">ROUND(E37*G37,2)</f>
        <v>335.06</v>
      </c>
      <c r="J37" s="39"/>
    </row>
    <row r="38" spans="3:10" ht="15" customHeight="1">
      <c r="C38" s="71" t="s">
        <v>95</v>
      </c>
      <c r="D38" s="72"/>
      <c r="E38" s="73">
        <f>E30</f>
        <v>1</v>
      </c>
      <c r="F38" s="72" t="s">
        <v>9</v>
      </c>
      <c r="G38" s="79">
        <f>Insumos!D92</f>
        <v>215.25</v>
      </c>
      <c r="H38" s="72" t="s">
        <v>10</v>
      </c>
      <c r="I38" s="75">
        <f t="shared" si="2"/>
        <v>215.25</v>
      </c>
      <c r="J38" s="39"/>
    </row>
    <row r="39" spans="3:10" ht="15" customHeight="1">
      <c r="C39" s="71" t="s">
        <v>133</v>
      </c>
      <c r="D39" s="72"/>
      <c r="E39" s="73">
        <v>1</v>
      </c>
      <c r="F39" s="72" t="s">
        <v>9</v>
      </c>
      <c r="G39" s="79">
        <f>Insumos!D93</f>
        <v>17.94</v>
      </c>
      <c r="H39" s="72" t="s">
        <v>10</v>
      </c>
      <c r="I39" s="75">
        <f t="shared" si="2"/>
        <v>17.94</v>
      </c>
      <c r="J39" s="83"/>
    </row>
    <row r="40" spans="3:10" ht="15" customHeight="1">
      <c r="C40" s="84" t="s">
        <v>177</v>
      </c>
      <c r="D40" s="85"/>
      <c r="E40" s="73">
        <v>1</v>
      </c>
      <c r="F40" s="72" t="s">
        <v>9</v>
      </c>
      <c r="G40" s="79">
        <f>G39</f>
        <v>17.94</v>
      </c>
      <c r="H40" s="72" t="s">
        <v>10</v>
      </c>
      <c r="I40" s="75">
        <f>ROUND(E40*G40,2)</f>
        <v>17.94</v>
      </c>
      <c r="J40" s="83"/>
    </row>
    <row r="41" spans="3:10" ht="15" customHeight="1">
      <c r="C41" s="86" t="s">
        <v>171</v>
      </c>
      <c r="D41" s="39"/>
      <c r="E41" s="87">
        <v>1</v>
      </c>
      <c r="F41" s="39" t="s">
        <v>9</v>
      </c>
      <c r="G41" s="88">
        <f>Insumos!D97</f>
        <v>60</v>
      </c>
      <c r="H41" s="39" t="s">
        <v>10</v>
      </c>
      <c r="I41" s="89">
        <f t="shared" si="2"/>
        <v>60</v>
      </c>
      <c r="J41" s="39"/>
    </row>
    <row r="42" spans="3:10" ht="15" customHeight="1">
      <c r="C42" s="71" t="s">
        <v>54</v>
      </c>
      <c r="D42" s="72"/>
      <c r="E42" s="73">
        <v>1</v>
      </c>
      <c r="F42" s="72" t="s">
        <v>59</v>
      </c>
      <c r="G42" s="79">
        <f>Insumos!D98</f>
        <v>14</v>
      </c>
      <c r="H42" s="72" t="s">
        <v>10</v>
      </c>
      <c r="I42" s="75">
        <f t="shared" si="2"/>
        <v>14</v>
      </c>
      <c r="J42" s="39"/>
    </row>
    <row r="43" spans="3:10" ht="15" customHeight="1">
      <c r="C43" s="84" t="s">
        <v>441</v>
      </c>
      <c r="D43" s="72"/>
      <c r="E43" s="90">
        <f>2*E37</f>
        <v>44</v>
      </c>
      <c r="F43" s="72" t="s">
        <v>9</v>
      </c>
      <c r="G43" s="79">
        <f>Insumos!D95</f>
        <v>3.8</v>
      </c>
      <c r="H43" s="72" t="s">
        <v>10</v>
      </c>
      <c r="I43" s="75">
        <f>IF(G30*6%&lt;E43*G43,ROUND(E43*G43,2)-6%*G30,0)</f>
        <v>0</v>
      </c>
      <c r="J43" s="91"/>
    </row>
    <row r="44" spans="3:10" ht="15" customHeight="1">
      <c r="C44" s="71" t="s">
        <v>13</v>
      </c>
      <c r="D44" s="72"/>
      <c r="E44" s="92">
        <f>E30</f>
        <v>1</v>
      </c>
      <c r="F44" s="72" t="s">
        <v>9</v>
      </c>
      <c r="G44" s="79">
        <f>J26</f>
        <v>107.92</v>
      </c>
      <c r="H44" s="72" t="s">
        <v>10</v>
      </c>
      <c r="I44" s="75">
        <f>ROUND(E44*G44,2)</f>
        <v>107.92</v>
      </c>
      <c r="J44" s="39"/>
    </row>
    <row r="45" spans="3:10" ht="15" customHeight="1">
      <c r="C45" s="80" t="s">
        <v>41</v>
      </c>
      <c r="D45" s="93"/>
      <c r="E45" s="94"/>
      <c r="F45" s="93"/>
      <c r="G45" s="94"/>
      <c r="H45" s="93"/>
      <c r="I45" s="95">
        <f>SUM(I36:I44)</f>
        <v>6984.11</v>
      </c>
      <c r="J45" s="64"/>
    </row>
    <row r="46" ht="15" customHeight="1">
      <c r="I46" s="96"/>
    </row>
    <row r="47" spans="3:9" ht="15" customHeight="1">
      <c r="C47" s="65" t="s">
        <v>155</v>
      </c>
      <c r="D47" s="66"/>
      <c r="E47" s="67"/>
      <c r="F47" s="66"/>
      <c r="G47" s="67"/>
      <c r="H47" s="66"/>
      <c r="I47" s="68"/>
    </row>
    <row r="48" spans="3:9" ht="15" customHeight="1">
      <c r="C48" s="71" t="s">
        <v>11</v>
      </c>
      <c r="D48" s="72"/>
      <c r="E48" s="73">
        <v>1</v>
      </c>
      <c r="F48" s="72" t="s">
        <v>9</v>
      </c>
      <c r="G48" s="74">
        <f>Insumos!D7</f>
        <v>1252.68</v>
      </c>
      <c r="H48" s="72" t="s">
        <v>10</v>
      </c>
      <c r="I48" s="75">
        <f aca="true" t="shared" si="3" ref="I48:I53">ROUND(E48*G48,2)</f>
        <v>1252.68</v>
      </c>
    </row>
    <row r="49" spans="3:11" ht="15" customHeight="1">
      <c r="C49" s="71" t="s">
        <v>2</v>
      </c>
      <c r="D49" s="72"/>
      <c r="E49" s="76">
        <v>0</v>
      </c>
      <c r="F49" s="72" t="s">
        <v>9</v>
      </c>
      <c r="G49" s="74">
        <f>G31</f>
        <v>1212</v>
      </c>
      <c r="H49" s="72" t="s">
        <v>10</v>
      </c>
      <c r="I49" s="75">
        <f t="shared" si="3"/>
        <v>0</v>
      </c>
      <c r="J49" s="394"/>
      <c r="K49" s="394"/>
    </row>
    <row r="50" spans="3:9" ht="15" customHeight="1">
      <c r="C50" s="71" t="s">
        <v>36</v>
      </c>
      <c r="D50" s="72"/>
      <c r="E50" s="77">
        <v>0</v>
      </c>
      <c r="F50" s="72" t="s">
        <v>9</v>
      </c>
      <c r="G50" s="74">
        <f>ROUND(G48/220*1.5,2)</f>
        <v>8.54</v>
      </c>
      <c r="H50" s="72" t="s">
        <v>10</v>
      </c>
      <c r="I50" s="75">
        <f t="shared" si="3"/>
        <v>0</v>
      </c>
    </row>
    <row r="51" spans="3:9" ht="15" customHeight="1" hidden="1">
      <c r="C51" s="71" t="s">
        <v>68</v>
      </c>
      <c r="D51" s="72"/>
      <c r="E51" s="77">
        <v>0</v>
      </c>
      <c r="F51" s="72" t="s">
        <v>9</v>
      </c>
      <c r="G51" s="74">
        <f>ROUND((G48/220)*2,2)</f>
        <v>11.39</v>
      </c>
      <c r="H51" s="72" t="s">
        <v>10</v>
      </c>
      <c r="I51" s="75">
        <f t="shared" si="3"/>
        <v>0</v>
      </c>
    </row>
    <row r="52" spans="3:9" ht="15" customHeight="1" hidden="1">
      <c r="C52" s="71" t="s">
        <v>70</v>
      </c>
      <c r="D52" s="72"/>
      <c r="E52" s="77">
        <v>0</v>
      </c>
      <c r="F52" s="72" t="s">
        <v>9</v>
      </c>
      <c r="G52" s="74">
        <f>(G48/220)*0.2</f>
        <v>1.14</v>
      </c>
      <c r="H52" s="72" t="s">
        <v>10</v>
      </c>
      <c r="I52" s="75">
        <f t="shared" si="3"/>
        <v>0</v>
      </c>
    </row>
    <row r="53" spans="3:10" ht="15" customHeight="1">
      <c r="C53" s="71" t="s">
        <v>38</v>
      </c>
      <c r="D53" s="72"/>
      <c r="E53" s="78">
        <f>E35</f>
        <v>0.776</v>
      </c>
      <c r="F53" s="72" t="s">
        <v>9</v>
      </c>
      <c r="G53" s="79">
        <f>SUM(I48:I52)</f>
        <v>1252.68</v>
      </c>
      <c r="H53" s="72" t="s">
        <v>10</v>
      </c>
      <c r="I53" s="75">
        <f t="shared" si="3"/>
        <v>972.08</v>
      </c>
      <c r="J53" s="39"/>
    </row>
    <row r="54" spans="3:10" ht="15" customHeight="1">
      <c r="C54" s="80" t="s">
        <v>40</v>
      </c>
      <c r="D54" s="72"/>
      <c r="E54" s="81"/>
      <c r="F54" s="72"/>
      <c r="G54" s="79"/>
      <c r="H54" s="72"/>
      <c r="I54" s="82">
        <f>SUM(I48:I53)</f>
        <v>2224.76</v>
      </c>
      <c r="J54" s="39"/>
    </row>
    <row r="55" spans="3:10" ht="15" customHeight="1">
      <c r="C55" s="71" t="s">
        <v>39</v>
      </c>
      <c r="D55" s="72"/>
      <c r="E55" s="73">
        <f>E37</f>
        <v>22</v>
      </c>
      <c r="F55" s="72" t="s">
        <v>9</v>
      </c>
      <c r="G55" s="79">
        <f>G37</f>
        <v>15.23</v>
      </c>
      <c r="H55" s="72" t="s">
        <v>10</v>
      </c>
      <c r="I55" s="75">
        <f aca="true" t="shared" si="4" ref="I55:I60">ROUND(E55*G55,2)</f>
        <v>335.06</v>
      </c>
      <c r="J55" s="39"/>
    </row>
    <row r="56" spans="3:10" ht="15" customHeight="1">
      <c r="C56" s="71" t="s">
        <v>95</v>
      </c>
      <c r="D56" s="72"/>
      <c r="E56" s="73">
        <f>E48</f>
        <v>1</v>
      </c>
      <c r="F56" s="72" t="s">
        <v>9</v>
      </c>
      <c r="G56" s="79">
        <f>G38</f>
        <v>215.25</v>
      </c>
      <c r="H56" s="72" t="s">
        <v>10</v>
      </c>
      <c r="I56" s="75">
        <f t="shared" si="4"/>
        <v>215.25</v>
      </c>
      <c r="J56" s="39"/>
    </row>
    <row r="57" spans="3:10" ht="15" customHeight="1">
      <c r="C57" s="71" t="s">
        <v>133</v>
      </c>
      <c r="D57" s="72"/>
      <c r="E57" s="73">
        <v>1</v>
      </c>
      <c r="F57" s="72" t="s">
        <v>9</v>
      </c>
      <c r="G57" s="79">
        <f>G39</f>
        <v>17.94</v>
      </c>
      <c r="H57" s="72" t="s">
        <v>10</v>
      </c>
      <c r="I57" s="75">
        <f t="shared" si="4"/>
        <v>17.94</v>
      </c>
      <c r="J57" s="83"/>
    </row>
    <row r="58" spans="3:10" ht="15" customHeight="1">
      <c r="C58" s="86" t="str">
        <f>C40</f>
        <v>Gratificação de Férias (1/12)</v>
      </c>
      <c r="D58" s="72"/>
      <c r="E58" s="73">
        <f>E48</f>
        <v>1</v>
      </c>
      <c r="F58" s="72" t="s">
        <v>9</v>
      </c>
      <c r="G58" s="79">
        <f>G57</f>
        <v>17.94</v>
      </c>
      <c r="H58" s="72" t="s">
        <v>10</v>
      </c>
      <c r="I58" s="75">
        <f t="shared" si="4"/>
        <v>17.94</v>
      </c>
      <c r="J58" s="39"/>
    </row>
    <row r="59" spans="3:10" ht="15" customHeight="1">
      <c r="C59" s="97" t="str">
        <f>C41</f>
        <v>Ass. Médica (Ambulatorial)</v>
      </c>
      <c r="D59" s="72"/>
      <c r="E59" s="73">
        <v>1</v>
      </c>
      <c r="F59" s="72" t="s">
        <v>9</v>
      </c>
      <c r="G59" s="79">
        <f>G41</f>
        <v>60</v>
      </c>
      <c r="H59" s="72" t="s">
        <v>10</v>
      </c>
      <c r="I59" s="75">
        <f t="shared" si="4"/>
        <v>60</v>
      </c>
      <c r="J59" s="39"/>
    </row>
    <row r="60" spans="3:10" ht="15" customHeight="1">
      <c r="C60" s="71" t="s">
        <v>54</v>
      </c>
      <c r="D60" s="72"/>
      <c r="E60" s="73">
        <v>1</v>
      </c>
      <c r="F60" s="72" t="s">
        <v>59</v>
      </c>
      <c r="G60" s="79">
        <f>G42</f>
        <v>14</v>
      </c>
      <c r="H60" s="72" t="s">
        <v>10</v>
      </c>
      <c r="I60" s="75">
        <f t="shared" si="4"/>
        <v>14</v>
      </c>
      <c r="J60" s="39"/>
    </row>
    <row r="61" spans="3:10" ht="15" customHeight="1">
      <c r="C61" s="84" t="s">
        <v>441</v>
      </c>
      <c r="D61" s="72"/>
      <c r="E61" s="90">
        <f>E43</f>
        <v>44</v>
      </c>
      <c r="F61" s="72" t="s">
        <v>9</v>
      </c>
      <c r="G61" s="79">
        <f>G43</f>
        <v>3.8</v>
      </c>
      <c r="H61" s="72" t="s">
        <v>10</v>
      </c>
      <c r="I61" s="75">
        <f>IF(G48*6%&lt;E61*G61,ROUND(E61*G61,2)-6%*G48,0)</f>
        <v>92.04</v>
      </c>
      <c r="J61" s="91"/>
    </row>
    <row r="62" spans="3:10" ht="15" customHeight="1">
      <c r="C62" s="71" t="s">
        <v>13</v>
      </c>
      <c r="D62" s="72"/>
      <c r="E62" s="98">
        <f>E48</f>
        <v>1</v>
      </c>
      <c r="F62" s="72" t="s">
        <v>9</v>
      </c>
      <c r="G62" s="79">
        <f>J26</f>
        <v>107.92</v>
      </c>
      <c r="H62" s="72" t="s">
        <v>10</v>
      </c>
      <c r="I62" s="75">
        <f>ROUND(E62*G62,2)</f>
        <v>107.92</v>
      </c>
      <c r="J62" s="39"/>
    </row>
    <row r="63" spans="3:10" ht="15" customHeight="1">
      <c r="C63" s="80" t="s">
        <v>41</v>
      </c>
      <c r="D63" s="93"/>
      <c r="E63" s="94"/>
      <c r="F63" s="93"/>
      <c r="G63" s="94"/>
      <c r="H63" s="93"/>
      <c r="I63" s="95">
        <f>SUM(I54:I62)</f>
        <v>3084.91</v>
      </c>
      <c r="J63" s="64"/>
    </row>
    <row r="64" ht="15" customHeight="1">
      <c r="I64" s="96"/>
    </row>
    <row r="65" spans="3:10" ht="12.75" customHeight="1">
      <c r="C65" s="99"/>
      <c r="D65" s="64"/>
      <c r="E65" s="99"/>
      <c r="F65" s="64"/>
      <c r="G65" s="99"/>
      <c r="H65" s="64"/>
      <c r="I65" s="100"/>
      <c r="J65" s="64"/>
    </row>
    <row r="66" spans="3:10" ht="15" customHeight="1">
      <c r="C66" s="427" t="s">
        <v>61</v>
      </c>
      <c r="D66" s="428"/>
      <c r="E66" s="428"/>
      <c r="F66" s="428"/>
      <c r="G66" s="428"/>
      <c r="H66" s="428"/>
      <c r="I66" s="429"/>
      <c r="J66" s="64"/>
    </row>
    <row r="67" spans="3:10" ht="15" customHeight="1">
      <c r="C67" s="414" t="s">
        <v>120</v>
      </c>
      <c r="D67" s="415"/>
      <c r="E67" s="416" t="s">
        <v>121</v>
      </c>
      <c r="F67" s="417"/>
      <c r="G67" s="101" t="s">
        <v>138</v>
      </c>
      <c r="H67" s="102"/>
      <c r="I67" s="103" t="s">
        <v>135</v>
      </c>
      <c r="J67" s="104"/>
    </row>
    <row r="68" spans="3:10" ht="15" customHeight="1">
      <c r="C68" s="105" t="s">
        <v>164</v>
      </c>
      <c r="D68" s="39"/>
      <c r="E68" s="106">
        <f>H7</f>
        <v>1</v>
      </c>
      <c r="F68" s="53"/>
      <c r="G68" s="91">
        <f>I45</f>
        <v>6984.11</v>
      </c>
      <c r="H68" s="39"/>
      <c r="I68" s="107">
        <f>ROUND(E68*G68,2)</f>
        <v>6984.11</v>
      </c>
      <c r="J68" s="64"/>
    </row>
    <row r="69" spans="3:10" ht="15" customHeight="1">
      <c r="C69" s="71" t="s">
        <v>367</v>
      </c>
      <c r="D69" s="72"/>
      <c r="E69" s="106">
        <f>H8</f>
        <v>3</v>
      </c>
      <c r="F69" s="53"/>
      <c r="G69" s="108">
        <f>I63</f>
        <v>3084.91</v>
      </c>
      <c r="H69" s="53"/>
      <c r="I69" s="107">
        <f>ROUND(E69*G69,2)</f>
        <v>9254.73</v>
      </c>
      <c r="J69" s="64"/>
    </row>
    <row r="70" spans="2:11" ht="16.5" customHeight="1">
      <c r="B70" s="109"/>
      <c r="C70" s="101" t="s">
        <v>140</v>
      </c>
      <c r="D70" s="102"/>
      <c r="E70" s="110"/>
      <c r="F70" s="102"/>
      <c r="G70" s="110"/>
      <c r="H70" s="412">
        <f>SUM(I68:I69)</f>
        <v>16238.84</v>
      </c>
      <c r="I70" s="413"/>
      <c r="J70" s="111"/>
      <c r="K70" s="70"/>
    </row>
    <row r="71" spans="2:11" ht="15.75" customHeight="1">
      <c r="B71" s="109"/>
      <c r="C71" s="111"/>
      <c r="D71" s="112"/>
      <c r="E71" s="111"/>
      <c r="F71" s="112"/>
      <c r="G71" s="111"/>
      <c r="H71" s="112"/>
      <c r="I71" s="113"/>
      <c r="J71" s="111"/>
      <c r="K71" s="70"/>
    </row>
    <row r="72" spans="2:11" ht="15" customHeight="1">
      <c r="B72" s="114"/>
      <c r="C72" s="111"/>
      <c r="D72" s="111"/>
      <c r="E72" s="112"/>
      <c r="G72" s="111"/>
      <c r="H72" s="112"/>
      <c r="I72" s="113"/>
      <c r="J72" s="111"/>
      <c r="K72" s="70"/>
    </row>
    <row r="73" spans="3:10" ht="15" customHeight="1">
      <c r="C73" s="115" t="s">
        <v>172</v>
      </c>
      <c r="D73" s="39"/>
      <c r="E73" s="91"/>
      <c r="F73" s="39"/>
      <c r="G73" s="91"/>
      <c r="H73" s="39"/>
      <c r="I73" s="116"/>
      <c r="J73" s="64"/>
    </row>
    <row r="74" spans="3:10" ht="15" customHeight="1">
      <c r="C74" s="117"/>
      <c r="D74" s="39"/>
      <c r="E74" s="91"/>
      <c r="F74" s="39"/>
      <c r="G74" s="91"/>
      <c r="H74" s="39"/>
      <c r="I74" s="116"/>
      <c r="J74" s="64"/>
    </row>
    <row r="75" spans="3:11" ht="24" customHeight="1">
      <c r="C75" s="101" t="s">
        <v>120</v>
      </c>
      <c r="D75" s="110"/>
      <c r="E75" s="110"/>
      <c r="F75" s="118" t="s">
        <v>0</v>
      </c>
      <c r="G75" s="119" t="s">
        <v>147</v>
      </c>
      <c r="H75" s="408" t="s">
        <v>148</v>
      </c>
      <c r="I75" s="409"/>
      <c r="J75" s="91"/>
      <c r="K75" s="120"/>
    </row>
    <row r="76" spans="3:11" ht="82.5" customHeight="1">
      <c r="C76" s="405" t="s">
        <v>230</v>
      </c>
      <c r="D76" s="406"/>
      <c r="E76" s="407"/>
      <c r="F76" s="121">
        <v>1</v>
      </c>
      <c r="G76" s="122">
        <v>10000</v>
      </c>
      <c r="H76" s="410">
        <f>F76*G76</f>
        <v>10000</v>
      </c>
      <c r="I76" s="411"/>
      <c r="J76" s="91"/>
      <c r="K76" s="123"/>
    </row>
    <row r="77" spans="3:11" ht="15" customHeight="1">
      <c r="C77" s="101" t="s">
        <v>320</v>
      </c>
      <c r="D77" s="124"/>
      <c r="E77" s="125"/>
      <c r="F77" s="124"/>
      <c r="G77" s="125"/>
      <c r="H77" s="412">
        <f>SUM(H76)</f>
        <v>10000</v>
      </c>
      <c r="I77" s="413"/>
      <c r="J77" s="91"/>
      <c r="K77" s="113"/>
    </row>
    <row r="78" spans="3:11" ht="15" customHeight="1">
      <c r="C78" s="117"/>
      <c r="D78" s="39"/>
      <c r="E78" s="91"/>
      <c r="F78" s="39"/>
      <c r="G78" s="91"/>
      <c r="H78" s="39"/>
      <c r="I78" s="116"/>
      <c r="J78" s="64"/>
      <c r="K78" s="91"/>
    </row>
    <row r="79" spans="2:13" s="35" customFormat="1" ht="15" customHeight="1">
      <c r="B79" s="38"/>
      <c r="C79" s="126" t="s">
        <v>173</v>
      </c>
      <c r="D79" s="127"/>
      <c r="E79" s="127"/>
      <c r="F79" s="127"/>
      <c r="G79" s="127"/>
      <c r="H79" s="127"/>
      <c r="I79" s="127"/>
      <c r="J79" s="128"/>
      <c r="K79" s="129"/>
      <c r="M79" s="34"/>
    </row>
    <row r="80" spans="2:13" s="35" customFormat="1" ht="15" customHeight="1">
      <c r="B80" s="38"/>
      <c r="C80" s="105" t="s">
        <v>97</v>
      </c>
      <c r="D80" s="39"/>
      <c r="E80" s="91"/>
      <c r="F80" s="39"/>
      <c r="G80" s="91"/>
      <c r="H80" s="39"/>
      <c r="I80" s="130">
        <v>200</v>
      </c>
      <c r="J80" s="131"/>
      <c r="K80" s="34"/>
      <c r="M80" s="34"/>
    </row>
    <row r="81" spans="2:13" s="35" customFormat="1" ht="15" customHeight="1">
      <c r="B81" s="38"/>
      <c r="C81" s="71" t="s">
        <v>78</v>
      </c>
      <c r="D81" s="72"/>
      <c r="E81" s="108"/>
      <c r="F81" s="72"/>
      <c r="G81" s="108"/>
      <c r="H81" s="72"/>
      <c r="I81" s="132">
        <v>60</v>
      </c>
      <c r="J81" s="53"/>
      <c r="K81" s="34"/>
      <c r="M81" s="34"/>
    </row>
    <row r="82" spans="2:13" s="35" customFormat="1" ht="15" customHeight="1">
      <c r="B82" s="38"/>
      <c r="C82" s="105" t="s">
        <v>49</v>
      </c>
      <c r="D82" s="39"/>
      <c r="E82" s="91"/>
      <c r="F82" s="39"/>
      <c r="G82" s="91"/>
      <c r="H82" s="39"/>
      <c r="I82" s="133">
        <v>90</v>
      </c>
      <c r="J82" s="134"/>
      <c r="K82" s="34"/>
      <c r="M82" s="34"/>
    </row>
    <row r="83" spans="2:13" s="35" customFormat="1" ht="15" customHeight="1">
      <c r="B83" s="38"/>
      <c r="C83" s="71" t="s">
        <v>48</v>
      </c>
      <c r="D83" s="72"/>
      <c r="E83" s="108"/>
      <c r="F83" s="72"/>
      <c r="G83" s="108"/>
      <c r="H83" s="72"/>
      <c r="I83" s="135">
        <v>1</v>
      </c>
      <c r="J83" s="53"/>
      <c r="K83" s="34"/>
      <c r="M83" s="34"/>
    </row>
    <row r="84" spans="2:13" s="35" customFormat="1" ht="15" customHeight="1">
      <c r="B84" s="38"/>
      <c r="C84" s="80" t="s">
        <v>43</v>
      </c>
      <c r="D84" s="93"/>
      <c r="E84" s="94"/>
      <c r="F84" s="93"/>
      <c r="G84" s="94"/>
      <c r="H84" s="93"/>
      <c r="I84" s="136">
        <f>(I80+I82)*I83</f>
        <v>290</v>
      </c>
      <c r="J84" s="53"/>
      <c r="K84" s="34"/>
      <c r="M84" s="34"/>
    </row>
    <row r="85" spans="2:13" s="35" customFormat="1" ht="15" customHeight="1">
      <c r="B85" s="38"/>
      <c r="C85" s="99"/>
      <c r="D85" s="64"/>
      <c r="E85" s="99"/>
      <c r="F85" s="64"/>
      <c r="G85" s="99"/>
      <c r="H85" s="64"/>
      <c r="I85" s="137"/>
      <c r="J85" s="39"/>
      <c r="K85" s="34"/>
      <c r="M85" s="34"/>
    </row>
    <row r="86" spans="2:13" s="35" customFormat="1" ht="15" customHeight="1">
      <c r="B86" s="38"/>
      <c r="C86" s="465" t="s">
        <v>175</v>
      </c>
      <c r="D86" s="466"/>
      <c r="E86" s="466"/>
      <c r="F86" s="466"/>
      <c r="G86" s="466"/>
      <c r="H86" s="467"/>
      <c r="I86" s="137"/>
      <c r="J86" s="99"/>
      <c r="K86" s="34"/>
      <c r="M86" s="34"/>
    </row>
    <row r="87" spans="2:13" s="35" customFormat="1" ht="15" customHeight="1">
      <c r="B87" s="38"/>
      <c r="C87" s="71" t="s">
        <v>81</v>
      </c>
      <c r="D87" s="72"/>
      <c r="E87" s="108"/>
      <c r="F87" s="72"/>
      <c r="G87" s="138">
        <v>200</v>
      </c>
      <c r="H87" s="53"/>
      <c r="I87" s="139"/>
      <c r="J87" s="91"/>
      <c r="K87" s="34"/>
      <c r="M87" s="34"/>
    </row>
    <row r="88" spans="2:13" s="35" customFormat="1" ht="15" customHeight="1">
      <c r="B88" s="38"/>
      <c r="C88" s="71" t="s">
        <v>82</v>
      </c>
      <c r="D88" s="72"/>
      <c r="E88" s="108"/>
      <c r="F88" s="53"/>
      <c r="G88" s="140">
        <v>1</v>
      </c>
      <c r="H88" s="53"/>
      <c r="I88" s="139"/>
      <c r="J88" s="91"/>
      <c r="K88" s="34"/>
      <c r="M88" s="34"/>
    </row>
    <row r="89" spans="2:13" s="35" customFormat="1" ht="15" customHeight="1">
      <c r="B89" s="38"/>
      <c r="C89" s="141" t="s">
        <v>83</v>
      </c>
      <c r="D89" s="142"/>
      <c r="E89" s="143"/>
      <c r="G89" s="140">
        <v>12</v>
      </c>
      <c r="H89" s="53"/>
      <c r="I89" s="139"/>
      <c r="J89" s="91"/>
      <c r="K89" s="34"/>
      <c r="M89" s="34"/>
    </row>
    <row r="90" spans="2:13" s="35" customFormat="1" ht="15" customHeight="1">
      <c r="B90" s="38"/>
      <c r="C90" s="80" t="s">
        <v>84</v>
      </c>
      <c r="D90" s="93"/>
      <c r="E90" s="94"/>
      <c r="F90" s="93"/>
      <c r="G90" s="136">
        <f>(G87*G88)/G89</f>
        <v>16.67</v>
      </c>
      <c r="H90" s="144"/>
      <c r="J90" s="64"/>
      <c r="K90" s="34"/>
      <c r="M90" s="34"/>
    </row>
    <row r="91" spans="2:13" s="35" customFormat="1" ht="16.5" customHeight="1">
      <c r="B91" s="38"/>
      <c r="C91" s="99"/>
      <c r="D91" s="64"/>
      <c r="E91" s="99"/>
      <c r="F91" s="64"/>
      <c r="G91" s="99"/>
      <c r="H91" s="64"/>
      <c r="I91" s="137"/>
      <c r="J91" s="64"/>
      <c r="K91" s="34"/>
      <c r="M91" s="34"/>
    </row>
    <row r="92" spans="3:10" ht="5.25" customHeight="1">
      <c r="C92" s="91"/>
      <c r="D92" s="39"/>
      <c r="E92" s="91"/>
      <c r="F92" s="39"/>
      <c r="G92" s="91"/>
      <c r="H92" s="39"/>
      <c r="I92" s="116"/>
      <c r="J92" s="64"/>
    </row>
    <row r="93" spans="2:13" s="35" customFormat="1" ht="15" customHeight="1">
      <c r="B93" s="38"/>
      <c r="C93" s="462" t="s">
        <v>174</v>
      </c>
      <c r="D93" s="463"/>
      <c r="E93" s="463"/>
      <c r="F93" s="463"/>
      <c r="G93" s="463"/>
      <c r="H93" s="463"/>
      <c r="I93" s="464"/>
      <c r="J93" s="39"/>
      <c r="K93" s="34"/>
      <c r="M93" s="34"/>
    </row>
    <row r="94" spans="2:13" s="35" customFormat="1" ht="15" customHeight="1">
      <c r="B94" s="38"/>
      <c r="C94" s="71" t="s">
        <v>118</v>
      </c>
      <c r="D94" s="72"/>
      <c r="E94" s="108"/>
      <c r="F94" s="72"/>
      <c r="G94" s="108"/>
      <c r="H94" s="72"/>
      <c r="I94" s="145">
        <f>H77</f>
        <v>10000</v>
      </c>
      <c r="J94" s="39"/>
      <c r="K94" s="34"/>
      <c r="M94" s="34"/>
    </row>
    <row r="95" spans="2:13" s="35" customFormat="1" ht="15" customHeight="1">
      <c r="B95" s="38"/>
      <c r="C95" s="71" t="s">
        <v>85</v>
      </c>
      <c r="D95" s="72"/>
      <c r="E95" s="108"/>
      <c r="F95" s="72"/>
      <c r="G95" s="108"/>
      <c r="H95" s="72"/>
      <c r="I95" s="145">
        <f>I84</f>
        <v>290</v>
      </c>
      <c r="J95" s="39"/>
      <c r="K95" s="34"/>
      <c r="M95" s="34"/>
    </row>
    <row r="96" spans="2:13" s="35" customFormat="1" ht="15" customHeight="1">
      <c r="B96" s="38"/>
      <c r="C96" s="71" t="s">
        <v>86</v>
      </c>
      <c r="D96" s="72"/>
      <c r="E96" s="108"/>
      <c r="F96" s="72"/>
      <c r="G96" s="108"/>
      <c r="H96" s="72"/>
      <c r="I96" s="145">
        <f>G90</f>
        <v>16.67</v>
      </c>
      <c r="J96" s="39"/>
      <c r="K96" s="34"/>
      <c r="M96" s="34"/>
    </row>
    <row r="97" spans="2:13" s="35" customFormat="1" ht="15" customHeight="1">
      <c r="B97" s="109"/>
      <c r="C97" s="101" t="s">
        <v>122</v>
      </c>
      <c r="D97" s="102"/>
      <c r="E97" s="110"/>
      <c r="F97" s="102"/>
      <c r="G97" s="110"/>
      <c r="H97" s="102"/>
      <c r="I97" s="95">
        <f>SUM(I94:I96)</f>
        <v>10306.67</v>
      </c>
      <c r="J97" s="113"/>
      <c r="K97" s="111"/>
      <c r="L97" s="69"/>
      <c r="M97" s="70"/>
    </row>
    <row r="98" spans="3:10" ht="15" customHeight="1">
      <c r="C98" s="91"/>
      <c r="D98" s="39"/>
      <c r="E98" s="91"/>
      <c r="F98" s="39"/>
      <c r="G98" s="91"/>
      <c r="H98" s="39"/>
      <c r="I98" s="116"/>
      <c r="J98" s="64"/>
    </row>
    <row r="99" spans="3:10" ht="6" customHeight="1">
      <c r="C99" s="91"/>
      <c r="D99" s="39"/>
      <c r="E99" s="91"/>
      <c r="F99" s="39"/>
      <c r="G99" s="91"/>
      <c r="H99" s="39"/>
      <c r="I99" s="116"/>
      <c r="J99" s="64"/>
    </row>
    <row r="100" spans="2:13" s="35" customFormat="1" ht="15" customHeight="1">
      <c r="B100" s="38"/>
      <c r="C100" s="115" t="s">
        <v>87</v>
      </c>
      <c r="D100" s="64"/>
      <c r="E100" s="99"/>
      <c r="F100" s="64"/>
      <c r="G100" s="99"/>
      <c r="H100" s="64"/>
      <c r="I100" s="137"/>
      <c r="J100" s="39"/>
      <c r="K100" s="34"/>
      <c r="M100" s="34"/>
    </row>
    <row r="101" spans="2:13" s="35" customFormat="1" ht="15" customHeight="1">
      <c r="B101" s="38"/>
      <c r="C101" s="115"/>
      <c r="D101" s="64"/>
      <c r="E101" s="99"/>
      <c r="F101" s="64"/>
      <c r="G101" s="99"/>
      <c r="H101" s="64"/>
      <c r="I101" s="137"/>
      <c r="J101" s="39"/>
      <c r="K101" s="34"/>
      <c r="M101" s="34"/>
    </row>
    <row r="102" spans="2:13" s="35" customFormat="1" ht="15" customHeight="1">
      <c r="B102" s="38"/>
      <c r="C102" s="421" t="s">
        <v>136</v>
      </c>
      <c r="D102" s="419"/>
      <c r="E102" s="420"/>
      <c r="F102" s="47" t="s">
        <v>241</v>
      </c>
      <c r="G102" s="419" t="s">
        <v>137</v>
      </c>
      <c r="H102" s="420"/>
      <c r="I102" s="147" t="s">
        <v>138</v>
      </c>
      <c r="J102" s="421" t="s">
        <v>135</v>
      </c>
      <c r="K102" s="420"/>
      <c r="M102" s="34"/>
    </row>
    <row r="103" spans="2:13" s="35" customFormat="1" ht="12.75">
      <c r="B103" s="38"/>
      <c r="C103" s="397" t="s">
        <v>235</v>
      </c>
      <c r="D103" s="398"/>
      <c r="E103" s="399"/>
      <c r="F103" s="148">
        <v>4</v>
      </c>
      <c r="G103" s="149">
        <v>12</v>
      </c>
      <c r="H103" s="149"/>
      <c r="I103" s="150">
        <v>266.43</v>
      </c>
      <c r="J103" s="395">
        <f aca="true" t="shared" si="5" ref="J103:J115">F103*I103/G103</f>
        <v>88.81</v>
      </c>
      <c r="K103" s="396"/>
      <c r="M103" s="34"/>
    </row>
    <row r="104" spans="2:13" s="35" customFormat="1" ht="12.75">
      <c r="B104" s="38"/>
      <c r="C104" s="397" t="s">
        <v>234</v>
      </c>
      <c r="D104" s="398"/>
      <c r="E104" s="399"/>
      <c r="F104" s="148">
        <v>8</v>
      </c>
      <c r="G104" s="108">
        <v>2</v>
      </c>
      <c r="H104" s="108"/>
      <c r="I104" s="150">
        <v>63.75</v>
      </c>
      <c r="J104" s="395">
        <f t="shared" si="5"/>
        <v>255</v>
      </c>
      <c r="K104" s="396"/>
      <c r="M104" s="34"/>
    </row>
    <row r="105" spans="2:13" s="35" customFormat="1" ht="12.75">
      <c r="B105" s="38"/>
      <c r="C105" s="397" t="s">
        <v>236</v>
      </c>
      <c r="D105" s="398"/>
      <c r="E105" s="399"/>
      <c r="F105" s="148">
        <v>2</v>
      </c>
      <c r="G105" s="91">
        <v>2</v>
      </c>
      <c r="H105" s="91"/>
      <c r="I105" s="150">
        <v>81.63</v>
      </c>
      <c r="J105" s="395">
        <f t="shared" si="5"/>
        <v>81.63</v>
      </c>
      <c r="K105" s="396"/>
      <c r="M105" s="34"/>
    </row>
    <row r="106" spans="2:13" s="35" customFormat="1" ht="13.5" customHeight="1">
      <c r="B106" s="38"/>
      <c r="C106" s="397" t="s">
        <v>237</v>
      </c>
      <c r="D106" s="398"/>
      <c r="E106" s="399"/>
      <c r="F106" s="148">
        <v>2</v>
      </c>
      <c r="G106" s="108">
        <v>2</v>
      </c>
      <c r="H106" s="108"/>
      <c r="I106" s="150">
        <v>58.24</v>
      </c>
      <c r="J106" s="395">
        <f t="shared" si="5"/>
        <v>58.24</v>
      </c>
      <c r="K106" s="396"/>
      <c r="M106" s="34"/>
    </row>
    <row r="107" spans="2:13" s="35" customFormat="1" ht="12.75">
      <c r="B107" s="38"/>
      <c r="C107" s="397" t="s">
        <v>239</v>
      </c>
      <c r="D107" s="398"/>
      <c r="E107" s="399"/>
      <c r="F107" s="148">
        <v>4</v>
      </c>
      <c r="G107" s="91">
        <v>2</v>
      </c>
      <c r="H107" s="91"/>
      <c r="I107" s="150">
        <v>41.44</v>
      </c>
      <c r="J107" s="395">
        <f t="shared" si="5"/>
        <v>82.88</v>
      </c>
      <c r="K107" s="396"/>
      <c r="M107" s="34"/>
    </row>
    <row r="108" spans="2:13" s="35" customFormat="1" ht="12.75">
      <c r="B108" s="38"/>
      <c r="C108" s="397" t="s">
        <v>238</v>
      </c>
      <c r="D108" s="398"/>
      <c r="E108" s="399"/>
      <c r="F108" s="148">
        <v>4</v>
      </c>
      <c r="G108" s="108">
        <v>1</v>
      </c>
      <c r="H108" s="108"/>
      <c r="I108" s="150">
        <v>22.93</v>
      </c>
      <c r="J108" s="395">
        <f t="shared" si="5"/>
        <v>91.72</v>
      </c>
      <c r="K108" s="396"/>
      <c r="M108" s="34"/>
    </row>
    <row r="109" spans="2:13" s="35" customFormat="1" ht="12.75">
      <c r="B109" s="38"/>
      <c r="C109" s="397" t="s">
        <v>240</v>
      </c>
      <c r="D109" s="398"/>
      <c r="E109" s="399"/>
      <c r="F109" s="71">
        <v>4</v>
      </c>
      <c r="G109" s="71">
        <v>3</v>
      </c>
      <c r="H109" s="151"/>
      <c r="I109" s="152">
        <v>37.97</v>
      </c>
      <c r="J109" s="395">
        <f t="shared" si="5"/>
        <v>50.63</v>
      </c>
      <c r="K109" s="396"/>
      <c r="M109" s="34"/>
    </row>
    <row r="110" spans="2:13" s="35" customFormat="1" ht="24.75" customHeight="1">
      <c r="B110" s="38"/>
      <c r="C110" s="397" t="s">
        <v>290</v>
      </c>
      <c r="D110" s="398"/>
      <c r="E110" s="399"/>
      <c r="F110" s="148">
        <v>20</v>
      </c>
      <c r="G110" s="71">
        <v>12</v>
      </c>
      <c r="H110" s="151"/>
      <c r="I110" s="152">
        <v>48.08</v>
      </c>
      <c r="J110" s="395">
        <f t="shared" si="5"/>
        <v>80.13</v>
      </c>
      <c r="K110" s="396"/>
      <c r="M110" s="34"/>
    </row>
    <row r="111" spans="2:13" s="35" customFormat="1" ht="12.75">
      <c r="B111" s="38"/>
      <c r="C111" s="397" t="s">
        <v>299</v>
      </c>
      <c r="D111" s="398"/>
      <c r="E111" s="399"/>
      <c r="F111" s="148">
        <v>10</v>
      </c>
      <c r="G111" s="71">
        <v>1</v>
      </c>
      <c r="H111" s="151"/>
      <c r="I111" s="152">
        <v>17.46</v>
      </c>
      <c r="J111" s="395">
        <f t="shared" si="5"/>
        <v>174.6</v>
      </c>
      <c r="K111" s="396"/>
      <c r="M111" s="34"/>
    </row>
    <row r="112" spans="2:13" s="35" customFormat="1" ht="12.75">
      <c r="B112" s="38"/>
      <c r="C112" s="397" t="s">
        <v>294</v>
      </c>
      <c r="D112" s="398"/>
      <c r="E112" s="399"/>
      <c r="F112" s="148">
        <v>1</v>
      </c>
      <c r="G112" s="71">
        <v>12</v>
      </c>
      <c r="H112" s="151"/>
      <c r="I112" s="152">
        <v>2350</v>
      </c>
      <c r="J112" s="395">
        <f t="shared" si="5"/>
        <v>195.83</v>
      </c>
      <c r="K112" s="396"/>
      <c r="M112" s="34"/>
    </row>
    <row r="113" spans="2:13" s="35" customFormat="1" ht="12.75">
      <c r="B113" s="38"/>
      <c r="C113" s="397" t="s">
        <v>295</v>
      </c>
      <c r="D113" s="398"/>
      <c r="E113" s="399"/>
      <c r="F113" s="148">
        <v>2</v>
      </c>
      <c r="G113" s="71">
        <v>12</v>
      </c>
      <c r="H113" s="151"/>
      <c r="I113" s="152">
        <v>370.71</v>
      </c>
      <c r="J113" s="395">
        <f t="shared" si="5"/>
        <v>61.79</v>
      </c>
      <c r="K113" s="396"/>
      <c r="M113" s="34"/>
    </row>
    <row r="114" spans="2:13" s="35" customFormat="1" ht="12.75">
      <c r="B114" s="38"/>
      <c r="C114" s="397" t="s">
        <v>297</v>
      </c>
      <c r="D114" s="398"/>
      <c r="E114" s="399"/>
      <c r="F114" s="148">
        <v>2</v>
      </c>
      <c r="G114" s="71">
        <v>12</v>
      </c>
      <c r="H114" s="151"/>
      <c r="I114" s="152">
        <v>106.78</v>
      </c>
      <c r="J114" s="395">
        <f t="shared" si="5"/>
        <v>17.8</v>
      </c>
      <c r="K114" s="396"/>
      <c r="M114" s="34"/>
    </row>
    <row r="115" spans="2:13" s="35" customFormat="1" ht="12.75">
      <c r="B115" s="38"/>
      <c r="C115" s="397" t="s">
        <v>296</v>
      </c>
      <c r="D115" s="398"/>
      <c r="E115" s="399"/>
      <c r="F115" s="148">
        <v>2</v>
      </c>
      <c r="G115" s="71">
        <v>1</v>
      </c>
      <c r="H115" s="151"/>
      <c r="I115" s="152">
        <v>70</v>
      </c>
      <c r="J115" s="395">
        <f t="shared" si="5"/>
        <v>140</v>
      </c>
      <c r="K115" s="396"/>
      <c r="M115" s="34"/>
    </row>
    <row r="116" spans="2:14" ht="15" customHeight="1">
      <c r="B116" s="109"/>
      <c r="C116" s="101" t="s">
        <v>300</v>
      </c>
      <c r="D116" s="102"/>
      <c r="E116" s="110"/>
      <c r="F116" s="102"/>
      <c r="G116" s="110"/>
      <c r="H116" s="102"/>
      <c r="I116" s="151"/>
      <c r="J116" s="418">
        <f>SUM(J103:K115)</f>
        <v>1379.06</v>
      </c>
      <c r="K116" s="413"/>
      <c r="L116" s="69"/>
      <c r="M116" s="70"/>
      <c r="N116" s="153"/>
    </row>
    <row r="117" spans="2:14" ht="15" customHeight="1">
      <c r="B117" s="109"/>
      <c r="C117" s="111"/>
      <c r="D117" s="112"/>
      <c r="E117" s="111"/>
      <c r="F117" s="112"/>
      <c r="G117" s="111"/>
      <c r="H117" s="112"/>
      <c r="I117" s="91"/>
      <c r="J117" s="154"/>
      <c r="K117" s="154"/>
      <c r="L117" s="69"/>
      <c r="M117" s="70"/>
      <c r="N117" s="153"/>
    </row>
    <row r="118" spans="3:10" ht="15" customHeight="1" hidden="1">
      <c r="C118" s="91"/>
      <c r="D118" s="39"/>
      <c r="E118" s="91"/>
      <c r="F118" s="39"/>
      <c r="G118" s="91"/>
      <c r="H118" s="39"/>
      <c r="I118" s="116"/>
      <c r="J118" s="64"/>
    </row>
    <row r="119" spans="2:13" s="35" customFormat="1" ht="15" customHeight="1">
      <c r="B119" s="38"/>
      <c r="C119" s="115" t="s">
        <v>242</v>
      </c>
      <c r="D119" s="64"/>
      <c r="E119" s="99"/>
      <c r="F119" s="64"/>
      <c r="G119" s="99"/>
      <c r="H119" s="64"/>
      <c r="I119" s="137"/>
      <c r="J119" s="39"/>
      <c r="K119" s="34"/>
      <c r="M119" s="34"/>
    </row>
    <row r="120" spans="2:13" s="35" customFormat="1" ht="15" customHeight="1">
      <c r="B120" s="38"/>
      <c r="C120" s="115"/>
      <c r="D120" s="64"/>
      <c r="E120" s="99"/>
      <c r="F120" s="64"/>
      <c r="G120" s="99"/>
      <c r="H120" s="64"/>
      <c r="I120" s="137"/>
      <c r="J120" s="39"/>
      <c r="K120" s="34"/>
      <c r="M120" s="34"/>
    </row>
    <row r="121" spans="2:13" s="35" customFormat="1" ht="15" customHeight="1">
      <c r="B121" s="38"/>
      <c r="C121" s="421" t="s">
        <v>136</v>
      </c>
      <c r="D121" s="419"/>
      <c r="E121" s="420"/>
      <c r="F121" s="47" t="s">
        <v>210</v>
      </c>
      <c r="G121" s="421" t="s">
        <v>48</v>
      </c>
      <c r="H121" s="420"/>
      <c r="I121" s="155" t="s">
        <v>138</v>
      </c>
      <c r="J121" s="421" t="s">
        <v>135</v>
      </c>
      <c r="K121" s="420"/>
      <c r="M121" s="34"/>
    </row>
    <row r="122" spans="2:13" s="35" customFormat="1" ht="12.75">
      <c r="B122" s="38"/>
      <c r="C122" s="397" t="s">
        <v>243</v>
      </c>
      <c r="D122" s="398"/>
      <c r="E122" s="399"/>
      <c r="F122" s="51" t="s">
        <v>212</v>
      </c>
      <c r="G122" s="395">
        <f>'Outros Insumos'!E27</f>
        <v>140</v>
      </c>
      <c r="H122" s="396"/>
      <c r="I122" s="150">
        <f>'Outros Insumos'!G27</f>
        <v>7.48</v>
      </c>
      <c r="J122" s="395">
        <f>I122*G122</f>
        <v>1047.2</v>
      </c>
      <c r="K122" s="396"/>
      <c r="M122" s="34"/>
    </row>
    <row r="123" spans="2:13" s="35" customFormat="1" ht="12.75">
      <c r="B123" s="38"/>
      <c r="C123" s="397" t="s">
        <v>248</v>
      </c>
      <c r="D123" s="398"/>
      <c r="E123" s="399"/>
      <c r="F123" s="51" t="s">
        <v>212</v>
      </c>
      <c r="G123" s="395">
        <f>'Outros Insumos'!E29</f>
        <v>400</v>
      </c>
      <c r="H123" s="396"/>
      <c r="I123" s="150">
        <f>'Outros Insumos'!G29</f>
        <v>1.1</v>
      </c>
      <c r="J123" s="395">
        <f aca="true" t="shared" si="6" ref="J123:J128">I123*G123</f>
        <v>440</v>
      </c>
      <c r="K123" s="396"/>
      <c r="M123" s="34"/>
    </row>
    <row r="124" spans="2:13" s="35" customFormat="1" ht="13.5" customHeight="1">
      <c r="B124" s="38"/>
      <c r="C124" s="397" t="s">
        <v>249</v>
      </c>
      <c r="D124" s="398"/>
      <c r="E124" s="399"/>
      <c r="F124" s="51" t="s">
        <v>212</v>
      </c>
      <c r="G124" s="395">
        <f>'Outros Insumos'!E30/2</f>
        <v>212.5</v>
      </c>
      <c r="H124" s="396"/>
      <c r="I124" s="150">
        <f>'Outros Insumos'!G30</f>
        <v>4.03</v>
      </c>
      <c r="J124" s="395">
        <f t="shared" si="6"/>
        <v>856.38</v>
      </c>
      <c r="K124" s="396"/>
      <c r="M124" s="34"/>
    </row>
    <row r="125" spans="2:13" s="35" customFormat="1" ht="12.75">
      <c r="B125" s="38"/>
      <c r="C125" s="397" t="s">
        <v>247</v>
      </c>
      <c r="D125" s="398"/>
      <c r="E125" s="399"/>
      <c r="F125" s="51" t="s">
        <v>212</v>
      </c>
      <c r="G125" s="395">
        <f>'Outros Insumos'!E31</f>
        <v>527</v>
      </c>
      <c r="H125" s="396"/>
      <c r="I125" s="150">
        <f>'Outros Insumos'!G31</f>
        <v>5.38</v>
      </c>
      <c r="J125" s="395">
        <f t="shared" si="6"/>
        <v>2835.26</v>
      </c>
      <c r="K125" s="396"/>
      <c r="M125" s="34"/>
    </row>
    <row r="126" spans="2:13" s="35" customFormat="1" ht="12.75">
      <c r="B126" s="38"/>
      <c r="C126" s="397" t="s">
        <v>246</v>
      </c>
      <c r="D126" s="398"/>
      <c r="E126" s="399"/>
      <c r="F126" s="51" t="s">
        <v>212</v>
      </c>
      <c r="G126" s="395">
        <f>'Outros Insumos'!E32</f>
        <v>60</v>
      </c>
      <c r="H126" s="396"/>
      <c r="I126" s="150">
        <f>'Outros Insumos'!G32</f>
        <v>3.69</v>
      </c>
      <c r="J126" s="395">
        <f t="shared" si="6"/>
        <v>221.4</v>
      </c>
      <c r="K126" s="396"/>
      <c r="M126" s="34"/>
    </row>
    <row r="127" spans="2:13" s="35" customFormat="1" ht="12.75">
      <c r="B127" s="38"/>
      <c r="C127" s="397" t="s">
        <v>245</v>
      </c>
      <c r="D127" s="398"/>
      <c r="E127" s="399"/>
      <c r="F127" s="51" t="s">
        <v>212</v>
      </c>
      <c r="G127" s="395">
        <f>'Outros Insumos'!E33</f>
        <v>120</v>
      </c>
      <c r="H127" s="396"/>
      <c r="I127" s="150">
        <f>'Outros Insumos'!G33</f>
        <v>8.02</v>
      </c>
      <c r="J127" s="395">
        <f t="shared" si="6"/>
        <v>962.4</v>
      </c>
      <c r="K127" s="396"/>
      <c r="M127" s="34"/>
    </row>
    <row r="128" spans="2:13" s="35" customFormat="1" ht="12.75">
      <c r="B128" s="38"/>
      <c r="C128" s="397" t="s">
        <v>244</v>
      </c>
      <c r="D128" s="398"/>
      <c r="E128" s="399"/>
      <c r="F128" s="51" t="s">
        <v>212</v>
      </c>
      <c r="G128" s="395">
        <f>'Outros Insumos'!E34</f>
        <v>80</v>
      </c>
      <c r="H128" s="396"/>
      <c r="I128" s="150">
        <f>'Outros Insumos'!G34</f>
        <v>8.94</v>
      </c>
      <c r="J128" s="395">
        <f t="shared" si="6"/>
        <v>715.2</v>
      </c>
      <c r="K128" s="396"/>
      <c r="M128" s="34"/>
    </row>
    <row r="129" spans="2:14" ht="15" customHeight="1">
      <c r="B129" s="109"/>
      <c r="C129" s="101" t="s">
        <v>117</v>
      </c>
      <c r="D129" s="102"/>
      <c r="E129" s="110"/>
      <c r="F129" s="102"/>
      <c r="G129" s="110"/>
      <c r="H129" s="102"/>
      <c r="I129" s="151"/>
      <c r="J129" s="418">
        <f>SUM(J122:K128)</f>
        <v>7077.84</v>
      </c>
      <c r="K129" s="413"/>
      <c r="L129" s="69"/>
      <c r="M129" s="70"/>
      <c r="N129" s="153"/>
    </row>
    <row r="130" spans="2:14" ht="15" customHeight="1">
      <c r="B130" s="109"/>
      <c r="C130" s="111"/>
      <c r="D130" s="112"/>
      <c r="E130" s="111"/>
      <c r="F130" s="112"/>
      <c r="G130" s="111"/>
      <c r="H130" s="112"/>
      <c r="I130" s="91"/>
      <c r="J130" s="154"/>
      <c r="K130" s="154"/>
      <c r="L130" s="69"/>
      <c r="M130" s="70"/>
      <c r="N130" s="153"/>
    </row>
    <row r="131" spans="2:13" s="35" customFormat="1" ht="15" customHeight="1">
      <c r="B131" s="38"/>
      <c r="C131" s="115" t="s">
        <v>366</v>
      </c>
      <c r="D131" s="64"/>
      <c r="E131" s="99"/>
      <c r="F131" s="64"/>
      <c r="G131" s="99"/>
      <c r="H131" s="64"/>
      <c r="I131" s="137"/>
      <c r="J131" s="39"/>
      <c r="K131" s="34"/>
      <c r="M131" s="34"/>
    </row>
    <row r="132" spans="2:13" s="35" customFormat="1" ht="15" customHeight="1">
      <c r="B132" s="38"/>
      <c r="C132" s="115"/>
      <c r="D132" s="64"/>
      <c r="E132" s="99"/>
      <c r="F132" s="64"/>
      <c r="G132" s="99"/>
      <c r="H132" s="64"/>
      <c r="I132" s="137"/>
      <c r="J132" s="39"/>
      <c r="K132" s="34"/>
      <c r="M132" s="34"/>
    </row>
    <row r="133" spans="2:13" s="35" customFormat="1" ht="15" customHeight="1">
      <c r="B133" s="38"/>
      <c r="C133" s="412" t="s">
        <v>199</v>
      </c>
      <c r="D133" s="418"/>
      <c r="E133" s="418"/>
      <c r="F133" s="418"/>
      <c r="G133" s="418"/>
      <c r="H133" s="418"/>
      <c r="I133" s="418"/>
      <c r="J133" s="418"/>
      <c r="K133" s="413"/>
      <c r="M133" s="34"/>
    </row>
    <row r="134" spans="2:13" s="35" customFormat="1" ht="15" customHeight="1">
      <c r="B134" s="38"/>
      <c r="C134" s="421" t="s">
        <v>136</v>
      </c>
      <c r="D134" s="419"/>
      <c r="E134" s="420"/>
      <c r="F134" s="47" t="s">
        <v>210</v>
      </c>
      <c r="G134" s="421" t="s">
        <v>250</v>
      </c>
      <c r="H134" s="420"/>
      <c r="I134" s="155" t="s">
        <v>138</v>
      </c>
      <c r="J134" s="421" t="s">
        <v>135</v>
      </c>
      <c r="K134" s="420"/>
      <c r="M134" s="34"/>
    </row>
    <row r="135" spans="2:13" s="35" customFormat="1" ht="15">
      <c r="B135" s="38"/>
      <c r="C135" s="473" t="s">
        <v>435</v>
      </c>
      <c r="D135" s="474"/>
      <c r="E135" s="475"/>
      <c r="F135" s="156" t="s">
        <v>211</v>
      </c>
      <c r="G135" s="395">
        <f>'Outros Insumos'!E6</f>
        <v>50</v>
      </c>
      <c r="H135" s="396"/>
      <c r="I135" s="150">
        <f>'Outros Insumos'!G6</f>
        <v>44</v>
      </c>
      <c r="J135" s="395">
        <f>I135*G135</f>
        <v>2200</v>
      </c>
      <c r="K135" s="396"/>
      <c r="M135" s="34"/>
    </row>
    <row r="136" spans="2:13" s="35" customFormat="1" ht="15">
      <c r="B136" s="38"/>
      <c r="C136" s="470" t="s">
        <v>436</v>
      </c>
      <c r="D136" s="471"/>
      <c r="E136" s="472"/>
      <c r="F136" s="156" t="s">
        <v>211</v>
      </c>
      <c r="G136" s="395">
        <f>'Outros Insumos'!E7</f>
        <v>50</v>
      </c>
      <c r="H136" s="396"/>
      <c r="I136" s="150">
        <f>'Outros Insumos'!G7</f>
        <v>40.42</v>
      </c>
      <c r="J136" s="395">
        <f>I136*G136</f>
        <v>2021</v>
      </c>
      <c r="K136" s="396"/>
      <c r="M136" s="34"/>
    </row>
    <row r="137" spans="2:13" s="35" customFormat="1" ht="15">
      <c r="B137" s="38"/>
      <c r="C137" s="481" t="s">
        <v>437</v>
      </c>
      <c r="D137" s="482"/>
      <c r="E137" s="483"/>
      <c r="F137" s="156" t="s">
        <v>211</v>
      </c>
      <c r="G137" s="395">
        <f>'Outros Insumos'!E8</f>
        <v>50</v>
      </c>
      <c r="H137" s="396"/>
      <c r="I137" s="150">
        <f>'Outros Insumos'!G8</f>
        <v>20.28</v>
      </c>
      <c r="J137" s="395">
        <f>I137*G137</f>
        <v>1014</v>
      </c>
      <c r="K137" s="396"/>
      <c r="M137" s="34"/>
    </row>
    <row r="138" spans="2:13" s="35" customFormat="1" ht="15">
      <c r="B138" s="38"/>
      <c r="C138" s="478" t="s">
        <v>438</v>
      </c>
      <c r="D138" s="479"/>
      <c r="E138" s="480"/>
      <c r="F138" s="156" t="s">
        <v>211</v>
      </c>
      <c r="G138" s="395">
        <f>'Outros Insumos'!E9</f>
        <v>50</v>
      </c>
      <c r="H138" s="396"/>
      <c r="I138" s="150">
        <f>'Outros Insumos'!G9</f>
        <v>24.81</v>
      </c>
      <c r="J138" s="395">
        <f>I138*G138</f>
        <v>1240.5</v>
      </c>
      <c r="K138" s="396"/>
      <c r="M138" s="34"/>
    </row>
    <row r="139" spans="2:14" ht="15" customHeight="1">
      <c r="B139" s="109"/>
      <c r="C139" s="101" t="s">
        <v>368</v>
      </c>
      <c r="D139" s="102"/>
      <c r="E139" s="110"/>
      <c r="F139" s="102"/>
      <c r="G139" s="110"/>
      <c r="H139" s="102"/>
      <c r="I139" s="151"/>
      <c r="J139" s="418">
        <f>SUM(J135:K138)</f>
        <v>6475.5</v>
      </c>
      <c r="K139" s="413"/>
      <c r="L139" s="69"/>
      <c r="M139" s="70"/>
      <c r="N139" s="153"/>
    </row>
    <row r="140" spans="3:14" ht="15" customHeight="1">
      <c r="C140" s="99"/>
      <c r="D140" s="64"/>
      <c r="E140" s="99"/>
      <c r="F140" s="64"/>
      <c r="G140" s="99"/>
      <c r="H140" s="64"/>
      <c r="I140" s="137"/>
      <c r="J140" s="99"/>
      <c r="N140" s="153"/>
    </row>
    <row r="141" spans="2:13" s="35" customFormat="1" ht="15" customHeight="1">
      <c r="B141" s="38"/>
      <c r="C141" s="412" t="s">
        <v>204</v>
      </c>
      <c r="D141" s="418"/>
      <c r="E141" s="418"/>
      <c r="F141" s="418"/>
      <c r="G141" s="418"/>
      <c r="H141" s="418"/>
      <c r="I141" s="418"/>
      <c r="J141" s="418"/>
      <c r="K141" s="413"/>
      <c r="M141" s="34"/>
    </row>
    <row r="142" spans="2:13" s="35" customFormat="1" ht="15" customHeight="1">
      <c r="B142" s="38"/>
      <c r="C142" s="421" t="s">
        <v>136</v>
      </c>
      <c r="D142" s="419"/>
      <c r="E142" s="420"/>
      <c r="F142" s="47" t="s">
        <v>210</v>
      </c>
      <c r="G142" s="421" t="s">
        <v>250</v>
      </c>
      <c r="H142" s="420"/>
      <c r="I142" s="155" t="s">
        <v>138</v>
      </c>
      <c r="J142" s="421" t="s">
        <v>135</v>
      </c>
      <c r="K142" s="420"/>
      <c r="M142" s="34"/>
    </row>
    <row r="143" spans="2:13" s="35" customFormat="1" ht="13.5" customHeight="1">
      <c r="B143" s="38"/>
      <c r="C143" s="157" t="s">
        <v>442</v>
      </c>
      <c r="D143" s="158"/>
      <c r="E143" s="159"/>
      <c r="F143" s="160" t="s">
        <v>210</v>
      </c>
      <c r="G143" s="161">
        <f>'Outros Insumos'!E11</f>
        <v>40</v>
      </c>
      <c r="H143" s="162"/>
      <c r="I143" s="150">
        <f>'Outros Insumos'!G11</f>
        <v>33.19</v>
      </c>
      <c r="J143" s="395">
        <f>I143*G143</f>
        <v>1327.6</v>
      </c>
      <c r="K143" s="396"/>
      <c r="M143" s="34"/>
    </row>
    <row r="144" spans="2:13" s="35" customFormat="1" ht="13.5" customHeight="1">
      <c r="B144" s="38"/>
      <c r="C144" s="157" t="s">
        <v>443</v>
      </c>
      <c r="D144" s="158"/>
      <c r="E144" s="159"/>
      <c r="F144" s="160" t="s">
        <v>210</v>
      </c>
      <c r="G144" s="161">
        <f>'Outros Insumos'!E12</f>
        <v>40</v>
      </c>
      <c r="H144" s="162"/>
      <c r="I144" s="150">
        <f>'Outros Insumos'!G12</f>
        <v>26.45</v>
      </c>
      <c r="J144" s="395">
        <f>I144*G144</f>
        <v>1058</v>
      </c>
      <c r="K144" s="396"/>
      <c r="M144" s="34"/>
    </row>
    <row r="145" spans="2:13" s="35" customFormat="1" ht="13.5" customHeight="1">
      <c r="B145" s="38"/>
      <c r="C145" s="157" t="s">
        <v>205</v>
      </c>
      <c r="D145" s="158"/>
      <c r="E145" s="159"/>
      <c r="F145" s="160" t="s">
        <v>210</v>
      </c>
      <c r="G145" s="163">
        <f>'Outros Insumos'!E13</f>
        <v>10</v>
      </c>
      <c r="H145" s="164"/>
      <c r="I145" s="165">
        <f>'Outros Insumos'!G13</f>
        <v>26.12</v>
      </c>
      <c r="J145" s="395">
        <f aca="true" t="shared" si="7" ref="J145:J154">I145*G145</f>
        <v>261.2</v>
      </c>
      <c r="K145" s="396"/>
      <c r="M145" s="34"/>
    </row>
    <row r="146" spans="2:13" s="35" customFormat="1" ht="13.5" customHeight="1">
      <c r="B146" s="38"/>
      <c r="C146" s="157" t="s">
        <v>206</v>
      </c>
      <c r="D146" s="158"/>
      <c r="E146" s="159"/>
      <c r="F146" s="160" t="s">
        <v>210</v>
      </c>
      <c r="G146" s="163">
        <f>'Outros Insumos'!E14</f>
        <v>10</v>
      </c>
      <c r="H146" s="164"/>
      <c r="I146" s="165">
        <f>'Outros Insumos'!G14</f>
        <v>29.95</v>
      </c>
      <c r="J146" s="395">
        <f t="shared" si="7"/>
        <v>299.5</v>
      </c>
      <c r="K146" s="396"/>
      <c r="M146" s="34"/>
    </row>
    <row r="147" spans="2:13" s="35" customFormat="1" ht="13.5" customHeight="1">
      <c r="B147" s="38"/>
      <c r="C147" s="157" t="s">
        <v>444</v>
      </c>
      <c r="D147" s="158"/>
      <c r="E147" s="159"/>
      <c r="F147" s="160" t="s">
        <v>210</v>
      </c>
      <c r="G147" s="163">
        <f>'Outros Insumos'!E15</f>
        <v>20</v>
      </c>
      <c r="H147" s="164"/>
      <c r="I147" s="165">
        <f>'Outros Insumos'!G15</f>
        <v>14.07</v>
      </c>
      <c r="J147" s="395">
        <f t="shared" si="7"/>
        <v>281.4</v>
      </c>
      <c r="K147" s="396"/>
      <c r="M147" s="34"/>
    </row>
    <row r="148" spans="2:13" s="35" customFormat="1" ht="13.5" customHeight="1">
      <c r="B148" s="38"/>
      <c r="C148" s="157" t="s">
        <v>445</v>
      </c>
      <c r="D148" s="158"/>
      <c r="E148" s="159"/>
      <c r="F148" s="160" t="s">
        <v>210</v>
      </c>
      <c r="G148" s="163">
        <f>'Outros Insumos'!E16</f>
        <v>20</v>
      </c>
      <c r="H148" s="164"/>
      <c r="I148" s="165">
        <f>'Outros Insumos'!G16</f>
        <v>10.16</v>
      </c>
      <c r="J148" s="395">
        <f t="shared" si="7"/>
        <v>203.2</v>
      </c>
      <c r="K148" s="396"/>
      <c r="M148" s="34"/>
    </row>
    <row r="149" spans="2:13" s="35" customFormat="1" ht="13.5" customHeight="1">
      <c r="B149" s="38"/>
      <c r="C149" s="157" t="s">
        <v>446</v>
      </c>
      <c r="D149" s="158"/>
      <c r="E149" s="159"/>
      <c r="F149" s="160" t="s">
        <v>210</v>
      </c>
      <c r="G149" s="161">
        <f>'Outros Insumos'!E17</f>
        <v>40</v>
      </c>
      <c r="H149" s="162"/>
      <c r="I149" s="150">
        <f>'Outros Insumos'!G17</f>
        <v>20.58</v>
      </c>
      <c r="J149" s="395">
        <f t="shared" si="7"/>
        <v>823.2</v>
      </c>
      <c r="K149" s="396"/>
      <c r="M149" s="34"/>
    </row>
    <row r="150" spans="2:13" s="35" customFormat="1" ht="13.5" customHeight="1">
      <c r="B150" s="38"/>
      <c r="C150" s="157" t="s">
        <v>447</v>
      </c>
      <c r="D150" s="158"/>
      <c r="E150" s="159"/>
      <c r="F150" s="160" t="s">
        <v>210</v>
      </c>
      <c r="G150" s="161">
        <f>'Outros Insumos'!E18</f>
        <v>70</v>
      </c>
      <c r="H150" s="162"/>
      <c r="I150" s="150">
        <f>'Outros Insumos'!G18</f>
        <v>26.98</v>
      </c>
      <c r="J150" s="395">
        <f t="shared" si="7"/>
        <v>1888.6</v>
      </c>
      <c r="K150" s="396"/>
      <c r="M150" s="34"/>
    </row>
    <row r="151" spans="2:13" s="35" customFormat="1" ht="13.5" customHeight="1">
      <c r="B151" s="38"/>
      <c r="C151" s="157" t="s">
        <v>448</v>
      </c>
      <c r="D151" s="158"/>
      <c r="E151" s="159"/>
      <c r="F151" s="160" t="s">
        <v>210</v>
      </c>
      <c r="G151" s="161">
        <f>'Outros Insumos'!E19</f>
        <v>10</v>
      </c>
      <c r="H151" s="162"/>
      <c r="I151" s="150">
        <f>'Outros Insumos'!G19</f>
        <v>97</v>
      </c>
      <c r="J151" s="395">
        <f t="shared" si="7"/>
        <v>970</v>
      </c>
      <c r="K151" s="396"/>
      <c r="M151" s="34"/>
    </row>
    <row r="152" spans="2:13" s="35" customFormat="1" ht="13.5" customHeight="1">
      <c r="B152" s="38"/>
      <c r="C152" s="157" t="s">
        <v>449</v>
      </c>
      <c r="D152" s="158"/>
      <c r="E152" s="159"/>
      <c r="F152" s="160" t="s">
        <v>210</v>
      </c>
      <c r="G152" s="161">
        <f>'Outros Insumos'!E20</f>
        <v>10</v>
      </c>
      <c r="H152" s="162"/>
      <c r="I152" s="150">
        <f>'Outros Insumos'!G20</f>
        <v>40</v>
      </c>
      <c r="J152" s="395">
        <f t="shared" si="7"/>
        <v>400</v>
      </c>
      <c r="K152" s="396"/>
      <c r="M152" s="34"/>
    </row>
    <row r="153" spans="2:13" s="35" customFormat="1" ht="13.5" customHeight="1">
      <c r="B153" s="38"/>
      <c r="C153" s="157" t="s">
        <v>450</v>
      </c>
      <c r="D153" s="158"/>
      <c r="E153" s="159"/>
      <c r="F153" s="160" t="s">
        <v>210</v>
      </c>
      <c r="G153" s="161">
        <f>'Outros Insumos'!E21</f>
        <v>30</v>
      </c>
      <c r="H153" s="162"/>
      <c r="I153" s="150">
        <f>'Outros Insumos'!G21</f>
        <v>42.25</v>
      </c>
      <c r="J153" s="395">
        <f t="shared" si="7"/>
        <v>1267.5</v>
      </c>
      <c r="K153" s="396"/>
      <c r="M153" s="34"/>
    </row>
    <row r="154" spans="2:13" s="35" customFormat="1" ht="13.5" customHeight="1">
      <c r="B154" s="38"/>
      <c r="C154" s="157" t="s">
        <v>451</v>
      </c>
      <c r="D154" s="158"/>
      <c r="E154" s="159"/>
      <c r="F154" s="160" t="s">
        <v>210</v>
      </c>
      <c r="G154" s="161">
        <f>'Outros Insumos'!E22</f>
        <v>10</v>
      </c>
      <c r="H154" s="162"/>
      <c r="I154" s="150">
        <f>'Outros Insumos'!G22</f>
        <v>74</v>
      </c>
      <c r="J154" s="395">
        <f t="shared" si="7"/>
        <v>740</v>
      </c>
      <c r="K154" s="396"/>
      <c r="M154" s="34"/>
    </row>
    <row r="155" spans="2:14" ht="15" customHeight="1">
      <c r="B155" s="109"/>
      <c r="C155" s="101" t="s">
        <v>369</v>
      </c>
      <c r="D155" s="102"/>
      <c r="E155" s="110"/>
      <c r="F155" s="102"/>
      <c r="G155" s="110"/>
      <c r="H155" s="102"/>
      <c r="I155" s="151"/>
      <c r="J155" s="418">
        <f>SUM(J143:K154)</f>
        <v>9520.2</v>
      </c>
      <c r="K155" s="413"/>
      <c r="L155" s="69"/>
      <c r="M155" s="70"/>
      <c r="N155" s="153"/>
    </row>
    <row r="156" spans="3:14" ht="15" customHeight="1">
      <c r="C156" s="99"/>
      <c r="D156" s="64"/>
      <c r="E156" s="99"/>
      <c r="F156" s="64"/>
      <c r="G156" s="99"/>
      <c r="H156" s="64"/>
      <c r="I156" s="137"/>
      <c r="J156" s="99"/>
      <c r="N156" s="153"/>
    </row>
    <row r="157" spans="2:13" s="35" customFormat="1" ht="15" customHeight="1">
      <c r="B157" s="38"/>
      <c r="C157" s="412" t="s">
        <v>207</v>
      </c>
      <c r="D157" s="418"/>
      <c r="E157" s="418"/>
      <c r="F157" s="418"/>
      <c r="G157" s="418"/>
      <c r="H157" s="418"/>
      <c r="I157" s="418"/>
      <c r="J157" s="418"/>
      <c r="K157" s="413"/>
      <c r="M157" s="34"/>
    </row>
    <row r="158" spans="2:13" s="35" customFormat="1" ht="15" customHeight="1">
      <c r="B158" s="38"/>
      <c r="C158" s="421" t="s">
        <v>136</v>
      </c>
      <c r="D158" s="419"/>
      <c r="E158" s="420"/>
      <c r="F158" s="47" t="s">
        <v>210</v>
      </c>
      <c r="G158" s="421" t="s">
        <v>250</v>
      </c>
      <c r="H158" s="420"/>
      <c r="I158" s="155" t="s">
        <v>138</v>
      </c>
      <c r="J158" s="421" t="s">
        <v>135</v>
      </c>
      <c r="K158" s="420"/>
      <c r="M158" s="34"/>
    </row>
    <row r="159" spans="2:13" s="35" customFormat="1" ht="13.5" customHeight="1">
      <c r="B159" s="38"/>
      <c r="C159" s="484" t="s">
        <v>440</v>
      </c>
      <c r="D159" s="485"/>
      <c r="E159" s="486"/>
      <c r="F159" s="156" t="s">
        <v>211</v>
      </c>
      <c r="G159" s="395">
        <f>'Outros Insumos'!E24</f>
        <v>1500</v>
      </c>
      <c r="H159" s="396"/>
      <c r="I159" s="150">
        <f>'Outros Insumos'!G24</f>
        <v>33.02</v>
      </c>
      <c r="J159" s="395">
        <f>I159*G159</f>
        <v>49530</v>
      </c>
      <c r="K159" s="396"/>
      <c r="M159" s="34"/>
    </row>
    <row r="160" spans="2:13" s="35" customFormat="1" ht="13.5" customHeight="1">
      <c r="B160" s="38"/>
      <c r="C160" s="487" t="s">
        <v>208</v>
      </c>
      <c r="D160" s="488"/>
      <c r="E160" s="489"/>
      <c r="F160" s="156" t="s">
        <v>211</v>
      </c>
      <c r="G160" s="395">
        <f>'Outros Insumos'!E25</f>
        <v>250</v>
      </c>
      <c r="H160" s="396"/>
      <c r="I160" s="150">
        <f>'Outros Insumos'!G25</f>
        <v>17.23</v>
      </c>
      <c r="J160" s="395">
        <f>I160*G160</f>
        <v>4307.5</v>
      </c>
      <c r="K160" s="396"/>
      <c r="M160" s="34"/>
    </row>
    <row r="161" spans="2:14" ht="15" customHeight="1">
      <c r="B161" s="109"/>
      <c r="C161" s="101" t="s">
        <v>370</v>
      </c>
      <c r="D161" s="102"/>
      <c r="E161" s="110"/>
      <c r="F161" s="102"/>
      <c r="G161" s="110"/>
      <c r="H161" s="102"/>
      <c r="I161" s="151"/>
      <c r="J161" s="418">
        <f>SUM(J159:K160)</f>
        <v>53837.5</v>
      </c>
      <c r="K161" s="413"/>
      <c r="L161" s="69"/>
      <c r="M161" s="70"/>
      <c r="N161" s="153"/>
    </row>
    <row r="162" spans="3:14" ht="15" customHeight="1">
      <c r="C162" s="99"/>
      <c r="D162" s="64"/>
      <c r="E162" s="99"/>
      <c r="F162" s="64"/>
      <c r="G162" s="99"/>
      <c r="H162" s="64"/>
      <c r="I162" s="137"/>
      <c r="J162" s="99"/>
      <c r="N162" s="153"/>
    </row>
    <row r="163" spans="3:14" ht="15" customHeight="1" hidden="1">
      <c r="C163" s="99"/>
      <c r="D163" s="64"/>
      <c r="E163" s="99"/>
      <c r="F163" s="64"/>
      <c r="G163" s="99"/>
      <c r="H163" s="64"/>
      <c r="I163" s="137"/>
      <c r="J163" s="99"/>
      <c r="N163" s="153"/>
    </row>
    <row r="164" spans="3:14" ht="15" customHeight="1">
      <c r="C164" s="166" t="s">
        <v>176</v>
      </c>
      <c r="D164" s="72"/>
      <c r="E164" s="108"/>
      <c r="F164" s="72"/>
      <c r="G164" s="108"/>
      <c r="H164" s="72"/>
      <c r="I164" s="167"/>
      <c r="J164" s="39"/>
      <c r="N164" s="153"/>
    </row>
    <row r="165" spans="3:14" ht="15" customHeight="1">
      <c r="C165" s="168" t="s">
        <v>50</v>
      </c>
      <c r="D165" s="169"/>
      <c r="E165" s="149"/>
      <c r="F165" s="169"/>
      <c r="G165" s="149"/>
      <c r="H165" s="131"/>
      <c r="I165" s="170">
        <f>H70</f>
        <v>16238.84</v>
      </c>
      <c r="J165" s="39"/>
      <c r="N165" s="153"/>
    </row>
    <row r="166" spans="3:14" ht="15" customHeight="1">
      <c r="C166" s="71" t="s">
        <v>154</v>
      </c>
      <c r="D166" s="72"/>
      <c r="E166" s="108"/>
      <c r="F166" s="72"/>
      <c r="G166" s="108"/>
      <c r="H166" s="53"/>
      <c r="I166" s="171">
        <f>I97</f>
        <v>10306.67</v>
      </c>
      <c r="J166" s="39"/>
      <c r="N166" s="153"/>
    </row>
    <row r="167" spans="3:14" ht="15" customHeight="1">
      <c r="C167" s="105" t="s">
        <v>64</v>
      </c>
      <c r="D167" s="39"/>
      <c r="E167" s="91"/>
      <c r="F167" s="39"/>
      <c r="G167" s="91"/>
      <c r="H167" s="134"/>
      <c r="I167" s="172">
        <f>J116</f>
        <v>1379.06</v>
      </c>
      <c r="J167" s="39"/>
      <c r="N167" s="153"/>
    </row>
    <row r="168" spans="3:14" ht="15" customHeight="1">
      <c r="C168" s="71" t="s">
        <v>251</v>
      </c>
      <c r="D168" s="72"/>
      <c r="E168" s="108"/>
      <c r="F168" s="72"/>
      <c r="G168" s="108"/>
      <c r="H168" s="53"/>
      <c r="I168" s="171">
        <f>J129</f>
        <v>7077.84</v>
      </c>
      <c r="J168" s="39"/>
      <c r="N168" s="153"/>
    </row>
    <row r="169" spans="3:14" ht="15" customHeight="1">
      <c r="C169" s="71" t="s">
        <v>371</v>
      </c>
      <c r="D169" s="72"/>
      <c r="E169" s="108"/>
      <c r="F169" s="72"/>
      <c r="G169" s="108"/>
      <c r="H169" s="53"/>
      <c r="I169" s="171">
        <f>J161+J155+J139</f>
        <v>69833.2</v>
      </c>
      <c r="J169" s="39"/>
      <c r="N169" s="153"/>
    </row>
    <row r="170" spans="2:14" ht="15" customHeight="1">
      <c r="B170" s="109"/>
      <c r="C170" s="101" t="s">
        <v>141</v>
      </c>
      <c r="D170" s="102"/>
      <c r="E170" s="110"/>
      <c r="F170" s="102"/>
      <c r="G170" s="110"/>
      <c r="H170" s="173"/>
      <c r="I170" s="174">
        <f>SUM(I165:I169)</f>
        <v>104835.61</v>
      </c>
      <c r="J170" s="111"/>
      <c r="K170" s="70"/>
      <c r="L170" s="69"/>
      <c r="M170" s="70"/>
      <c r="N170" s="153"/>
    </row>
    <row r="171" spans="2:11" ht="10.5" customHeight="1">
      <c r="B171" s="109"/>
      <c r="C171" s="123"/>
      <c r="D171" s="175"/>
      <c r="E171" s="123"/>
      <c r="F171" s="175"/>
      <c r="G171" s="123"/>
      <c r="H171" s="175"/>
      <c r="I171" s="176"/>
      <c r="J171" s="112"/>
      <c r="K171" s="70"/>
    </row>
    <row r="172" spans="2:13" ht="12.75">
      <c r="B172" s="177"/>
      <c r="C172" s="421" t="s">
        <v>231</v>
      </c>
      <c r="D172" s="419"/>
      <c r="E172" s="419"/>
      <c r="F172" s="419"/>
      <c r="G172" s="419"/>
      <c r="H172" s="420"/>
      <c r="I172" s="421">
        <f>I170</f>
        <v>104835.61</v>
      </c>
      <c r="J172" s="420"/>
      <c r="K172" s="64"/>
      <c r="L172" s="64"/>
      <c r="M172" s="178"/>
    </row>
    <row r="173" spans="2:12" ht="12.75">
      <c r="B173" s="114"/>
      <c r="C173" s="421" t="s">
        <v>65</v>
      </c>
      <c r="D173" s="419"/>
      <c r="E173" s="419"/>
      <c r="F173" s="419"/>
      <c r="G173" s="419"/>
      <c r="H173" s="420"/>
      <c r="I173" s="476">
        <f>'BDI REF. SLU'!B14</f>
        <v>0.3512</v>
      </c>
      <c r="J173" s="477"/>
      <c r="K173" s="91"/>
      <c r="L173" s="39"/>
    </row>
    <row r="174" spans="2:12" ht="12.75">
      <c r="B174" s="114"/>
      <c r="C174" s="421" t="s">
        <v>232</v>
      </c>
      <c r="D174" s="419"/>
      <c r="E174" s="419"/>
      <c r="F174" s="419"/>
      <c r="G174" s="419"/>
      <c r="H174" s="420"/>
      <c r="I174" s="421">
        <f>ROUND(I172*(I173),2)-1</f>
        <v>36817.27</v>
      </c>
      <c r="J174" s="420"/>
      <c r="K174" s="64"/>
      <c r="L174" s="179"/>
    </row>
    <row r="175" spans="2:12" ht="12.75">
      <c r="B175" s="114"/>
      <c r="C175" s="421" t="s">
        <v>233</v>
      </c>
      <c r="D175" s="419"/>
      <c r="E175" s="419"/>
      <c r="F175" s="419"/>
      <c r="G175" s="419"/>
      <c r="H175" s="420"/>
      <c r="I175" s="421">
        <f>I172+I174</f>
        <v>141652.88</v>
      </c>
      <c r="J175" s="420"/>
      <c r="K175" s="64"/>
      <c r="L175" s="39"/>
    </row>
    <row r="176" spans="2:14" ht="12.75">
      <c r="B176" s="114"/>
      <c r="C176" s="421" t="s">
        <v>51</v>
      </c>
      <c r="D176" s="419"/>
      <c r="E176" s="419"/>
      <c r="F176" s="419"/>
      <c r="G176" s="419"/>
      <c r="H176" s="420"/>
      <c r="I176" s="421">
        <v>1</v>
      </c>
      <c r="J176" s="420"/>
      <c r="K176" s="64"/>
      <c r="L176" s="39"/>
      <c r="M176" s="91"/>
      <c r="N176" s="39"/>
    </row>
    <row r="177" spans="2:14" ht="12.75">
      <c r="B177" s="114"/>
      <c r="C177" s="421" t="s">
        <v>52</v>
      </c>
      <c r="D177" s="419"/>
      <c r="E177" s="419"/>
      <c r="F177" s="419"/>
      <c r="G177" s="419"/>
      <c r="H177" s="420"/>
      <c r="I177" s="421">
        <f>I175/I176</f>
        <v>141652.88</v>
      </c>
      <c r="J177" s="420"/>
      <c r="K177" s="64"/>
      <c r="L177" s="39"/>
      <c r="M177" s="91"/>
      <c r="N177" s="39"/>
    </row>
    <row r="178" spans="2:14" ht="15" customHeight="1">
      <c r="B178" s="114"/>
      <c r="C178" s="111"/>
      <c r="D178" s="112"/>
      <c r="E178" s="111"/>
      <c r="F178" s="112"/>
      <c r="G178" s="111"/>
      <c r="H178" s="112"/>
      <c r="I178" s="113"/>
      <c r="J178" s="175"/>
      <c r="K178" s="123"/>
      <c r="L178" s="39"/>
      <c r="M178" s="91"/>
      <c r="N178" s="39"/>
    </row>
    <row r="179" spans="2:12" ht="19.5" customHeight="1">
      <c r="B179" s="114"/>
      <c r="C179" s="123"/>
      <c r="D179" s="175"/>
      <c r="E179" s="123"/>
      <c r="F179" s="175"/>
      <c r="G179" s="123"/>
      <c r="H179" s="175"/>
      <c r="I179" s="123"/>
      <c r="J179" s="175"/>
      <c r="K179" s="123"/>
      <c r="L179" s="39"/>
    </row>
    <row r="180" spans="2:12" ht="19.5" customHeight="1">
      <c r="B180" s="114"/>
      <c r="C180" s="123"/>
      <c r="D180" s="175"/>
      <c r="E180" s="123"/>
      <c r="F180" s="175"/>
      <c r="G180" s="123"/>
      <c r="H180" s="175"/>
      <c r="I180" s="123"/>
      <c r="J180" s="175"/>
      <c r="K180" s="123"/>
      <c r="L180" s="39"/>
    </row>
    <row r="181" spans="2:12" ht="19.5" customHeight="1">
      <c r="B181" s="114"/>
      <c r="C181" s="123"/>
      <c r="D181" s="175"/>
      <c r="E181" s="123"/>
      <c r="F181" s="175"/>
      <c r="G181" s="123"/>
      <c r="H181" s="175"/>
      <c r="I181" s="123"/>
      <c r="J181" s="175"/>
      <c r="K181" s="123"/>
      <c r="L181" s="39"/>
    </row>
  </sheetData>
  <sheetProtection/>
  <mergeCells count="172">
    <mergeCell ref="C159:E159"/>
    <mergeCell ref="J161:K161"/>
    <mergeCell ref="C160:E160"/>
    <mergeCell ref="G160:H160"/>
    <mergeCell ref="J160:K160"/>
    <mergeCell ref="C157:K157"/>
    <mergeCell ref="C158:E158"/>
    <mergeCell ref="G158:H158"/>
    <mergeCell ref="J158:K158"/>
    <mergeCell ref="J152:K152"/>
    <mergeCell ref="G159:H159"/>
    <mergeCell ref="J159:K159"/>
    <mergeCell ref="J153:K153"/>
    <mergeCell ref="J154:K154"/>
    <mergeCell ref="J142:K142"/>
    <mergeCell ref="J155:K155"/>
    <mergeCell ref="J145:K145"/>
    <mergeCell ref="J146:K146"/>
    <mergeCell ref="J147:K147"/>
    <mergeCell ref="J148:K148"/>
    <mergeCell ref="J149:K149"/>
    <mergeCell ref="J150:K150"/>
    <mergeCell ref="J151:K151"/>
    <mergeCell ref="G137:H137"/>
    <mergeCell ref="J137:K137"/>
    <mergeCell ref="J144:K144"/>
    <mergeCell ref="G138:H138"/>
    <mergeCell ref="J138:K138"/>
    <mergeCell ref="C141:K141"/>
    <mergeCell ref="C137:E137"/>
    <mergeCell ref="J143:K143"/>
    <mergeCell ref="C142:E142"/>
    <mergeCell ref="G142:H142"/>
    <mergeCell ref="C177:H177"/>
    <mergeCell ref="I172:J172"/>
    <mergeCell ref="I174:J174"/>
    <mergeCell ref="I175:J175"/>
    <mergeCell ref="I176:J176"/>
    <mergeCell ref="I177:J177"/>
    <mergeCell ref="I173:J173"/>
    <mergeCell ref="C176:H176"/>
    <mergeCell ref="C172:H172"/>
    <mergeCell ref="C173:H173"/>
    <mergeCell ref="C175:H175"/>
    <mergeCell ref="C174:H174"/>
    <mergeCell ref="J134:K134"/>
    <mergeCell ref="G135:H135"/>
    <mergeCell ref="C135:E135"/>
    <mergeCell ref="J135:K135"/>
    <mergeCell ref="C134:E134"/>
    <mergeCell ref="G134:H134"/>
    <mergeCell ref="J139:K139"/>
    <mergeCell ref="C138:E138"/>
    <mergeCell ref="C112:E112"/>
    <mergeCell ref="C133:K133"/>
    <mergeCell ref="J136:K136"/>
    <mergeCell ref="J124:K124"/>
    <mergeCell ref="J121:K121"/>
    <mergeCell ref="G121:H121"/>
    <mergeCell ref="J113:K113"/>
    <mergeCell ref="J114:K114"/>
    <mergeCell ref="J115:K115"/>
    <mergeCell ref="C136:E136"/>
    <mergeCell ref="G136:H136"/>
    <mergeCell ref="J122:K122"/>
    <mergeCell ref="J123:K123"/>
    <mergeCell ref="C123:E123"/>
    <mergeCell ref="C124:E124"/>
    <mergeCell ref="C125:E125"/>
    <mergeCell ref="G124:H124"/>
    <mergeCell ref="J109:K109"/>
    <mergeCell ref="J112:K112"/>
    <mergeCell ref="J26:K26"/>
    <mergeCell ref="J103:K103"/>
    <mergeCell ref="J106:K106"/>
    <mergeCell ref="J110:K110"/>
    <mergeCell ref="J111:K111"/>
    <mergeCell ref="H70:I70"/>
    <mergeCell ref="J104:K104"/>
    <mergeCell ref="J105:K105"/>
    <mergeCell ref="J102:K102"/>
    <mergeCell ref="J116:K116"/>
    <mergeCell ref="J22:K22"/>
    <mergeCell ref="J31:K31"/>
    <mergeCell ref="C93:I93"/>
    <mergeCell ref="C86:H86"/>
    <mergeCell ref="J24:K24"/>
    <mergeCell ref="C8:G8"/>
    <mergeCell ref="H8:I8"/>
    <mergeCell ref="J9:K9"/>
    <mergeCell ref="J14:K14"/>
    <mergeCell ref="J125:K125"/>
    <mergeCell ref="J23:K23"/>
    <mergeCell ref="H20:I20"/>
    <mergeCell ref="H21:I21"/>
    <mergeCell ref="H22:I22"/>
    <mergeCell ref="J20:K20"/>
    <mergeCell ref="J15:K15"/>
    <mergeCell ref="C16:F16"/>
    <mergeCell ref="H9:I9"/>
    <mergeCell ref="C13:K13"/>
    <mergeCell ref="J16:K16"/>
    <mergeCell ref="C9:G9"/>
    <mergeCell ref="H17:I17"/>
    <mergeCell ref="C6:G6"/>
    <mergeCell ref="J6:K6"/>
    <mergeCell ref="H6:I6"/>
    <mergeCell ref="J7:K7"/>
    <mergeCell ref="C15:F15"/>
    <mergeCell ref="C7:G7"/>
    <mergeCell ref="J17:K17"/>
    <mergeCell ref="H14:I14"/>
    <mergeCell ref="C14:F14"/>
    <mergeCell ref="J18:K18"/>
    <mergeCell ref="H23:I23"/>
    <mergeCell ref="H19:I19"/>
    <mergeCell ref="C23:F23"/>
    <mergeCell ref="C26:I26"/>
    <mergeCell ref="J19:K19"/>
    <mergeCell ref="C24:F24"/>
    <mergeCell ref="H24:I24"/>
    <mergeCell ref="J21:K21"/>
    <mergeCell ref="G122:H122"/>
    <mergeCell ref="C17:F17"/>
    <mergeCell ref="J25:K25"/>
    <mergeCell ref="H15:I15"/>
    <mergeCell ref="C66:I66"/>
    <mergeCell ref="C25:I25"/>
    <mergeCell ref="H16:I16"/>
    <mergeCell ref="C18:F18"/>
    <mergeCell ref="H18:I18"/>
    <mergeCell ref="C19:F19"/>
    <mergeCell ref="C104:E104"/>
    <mergeCell ref="C109:E109"/>
    <mergeCell ref="C122:E122"/>
    <mergeCell ref="C114:E114"/>
    <mergeCell ref="C115:E115"/>
    <mergeCell ref="C102:E102"/>
    <mergeCell ref="C103:E103"/>
    <mergeCell ref="C121:E121"/>
    <mergeCell ref="C110:E110"/>
    <mergeCell ref="C111:E111"/>
    <mergeCell ref="G123:H123"/>
    <mergeCell ref="G125:H125"/>
    <mergeCell ref="C126:E126"/>
    <mergeCell ref="C127:E127"/>
    <mergeCell ref="J129:K129"/>
    <mergeCell ref="C128:E128"/>
    <mergeCell ref="J128:K128"/>
    <mergeCell ref="G126:H126"/>
    <mergeCell ref="G127:H127"/>
    <mergeCell ref="G128:H128"/>
    <mergeCell ref="J126:K126"/>
    <mergeCell ref="J127:K127"/>
    <mergeCell ref="C1:J1"/>
    <mergeCell ref="D3:J3"/>
    <mergeCell ref="C76:E76"/>
    <mergeCell ref="H75:I75"/>
    <mergeCell ref="H76:I76"/>
    <mergeCell ref="H77:I77"/>
    <mergeCell ref="C67:D67"/>
    <mergeCell ref="E67:F67"/>
    <mergeCell ref="H7:I7"/>
    <mergeCell ref="J49:K49"/>
    <mergeCell ref="J107:K107"/>
    <mergeCell ref="J108:K108"/>
    <mergeCell ref="C113:E113"/>
    <mergeCell ref="C106:E106"/>
    <mergeCell ref="C107:E107"/>
    <mergeCell ref="C108:E108"/>
    <mergeCell ref="C105:E105"/>
    <mergeCell ref="G102:H102"/>
  </mergeCells>
  <printOptions horizontalCentered="1"/>
  <pageMargins left="0.35433070866141736" right="0.31496062992125984" top="0.4330708661417323" bottom="1.0236220472440944" header="0.5118110236220472" footer="0.4724409448818898"/>
  <pageSetup fitToHeight="0" fitToWidth="1" horizontalDpi="600" verticalDpi="600" orientation="portrait" paperSize="9" scale="82" r:id="rId1"/>
  <rowBreaks count="2" manualBreakCount="2">
    <brk id="63" min="1" max="10" man="1"/>
    <brk id="117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198"/>
  <sheetViews>
    <sheetView showGridLines="0" view="pageBreakPreview" zoomScale="130" zoomScaleSheetLayoutView="130" zoomScalePageLayoutView="0" workbookViewId="0" topLeftCell="A170">
      <selection activeCell="I199" sqref="I199"/>
    </sheetView>
  </sheetViews>
  <sheetFormatPr defaultColWidth="8.7109375" defaultRowHeight="19.5" customHeight="1"/>
  <cols>
    <col min="1" max="1" width="2.7109375" style="34" customWidth="1"/>
    <col min="2" max="2" width="3.28125" style="38" customWidth="1"/>
    <col min="3" max="3" width="13.7109375" style="34" customWidth="1"/>
    <col min="4" max="4" width="16.57421875" style="35" customWidth="1"/>
    <col min="5" max="5" width="12.8515625" style="34" customWidth="1"/>
    <col min="6" max="6" width="10.7109375" style="35" customWidth="1"/>
    <col min="7" max="7" width="17.140625" style="34" customWidth="1"/>
    <col min="8" max="8" width="10.7109375" style="35" customWidth="1"/>
    <col min="9" max="9" width="15.57421875" style="34" customWidth="1"/>
    <col min="10" max="10" width="15.421875" style="35" customWidth="1"/>
    <col min="11" max="11" width="3.57421875" style="34" customWidth="1"/>
    <col min="12" max="12" width="4.421875" style="35" customWidth="1"/>
    <col min="13" max="13" width="7.8515625" style="34" customWidth="1"/>
    <col min="14" max="14" width="4.7109375" style="35" customWidth="1"/>
    <col min="15" max="15" width="11.28125" style="34" customWidth="1"/>
    <col min="16" max="16384" width="8.7109375" style="34" customWidth="1"/>
  </cols>
  <sheetData>
    <row r="1" spans="2:15" s="20" customFormat="1" ht="18.75">
      <c r="B1" s="17"/>
      <c r="C1" s="400" t="s">
        <v>213</v>
      </c>
      <c r="D1" s="401"/>
      <c r="E1" s="401"/>
      <c r="F1" s="401"/>
      <c r="G1" s="401"/>
      <c r="H1" s="401"/>
      <c r="I1" s="401"/>
      <c r="J1" s="402"/>
      <c r="K1" s="18"/>
      <c r="L1" s="18"/>
      <c r="M1" s="17"/>
      <c r="N1" s="19"/>
      <c r="O1" s="19"/>
    </row>
    <row r="2" spans="2:15" s="20" customFormat="1" ht="17.25" customHeight="1">
      <c r="B2" s="17"/>
      <c r="C2" s="21"/>
      <c r="D2" s="21"/>
      <c r="E2" s="21"/>
      <c r="F2" s="21"/>
      <c r="G2" s="21"/>
      <c r="H2" s="21"/>
      <c r="I2" s="21"/>
      <c r="J2" s="21"/>
      <c r="K2" s="21"/>
      <c r="L2" s="21"/>
      <c r="M2" s="17"/>
      <c r="N2" s="19"/>
      <c r="O2" s="19"/>
    </row>
    <row r="3" spans="3:14" s="20" customFormat="1" ht="28.5" customHeight="1">
      <c r="C3" s="22" t="s">
        <v>130</v>
      </c>
      <c r="D3" s="403" t="str">
        <f>'Planilha de Preços'!B5</f>
        <v>EQUIPE PADRÃO PARA PRESTAÇÃO DE SERVIÇOS DE PODA E SUPRESSÃO DE ÁRVORES</v>
      </c>
      <c r="E3" s="403"/>
      <c r="F3" s="403"/>
      <c r="G3" s="403"/>
      <c r="H3" s="403"/>
      <c r="I3" s="403"/>
      <c r="J3" s="404"/>
      <c r="K3" s="23"/>
      <c r="L3" s="24"/>
      <c r="M3" s="25"/>
      <c r="N3" s="26"/>
    </row>
    <row r="4" spans="3:14" s="20" customFormat="1" ht="18" customHeight="1">
      <c r="C4" s="27"/>
      <c r="D4" s="27"/>
      <c r="E4" s="27"/>
      <c r="F4" s="27"/>
      <c r="G4" s="27"/>
      <c r="H4" s="27"/>
      <c r="I4" s="27"/>
      <c r="J4" s="28">
        <v>44440</v>
      </c>
      <c r="K4" s="29"/>
      <c r="L4" s="29"/>
      <c r="N4" s="26"/>
    </row>
    <row r="5" spans="2:14" ht="15" customHeight="1">
      <c r="B5" s="30"/>
      <c r="C5" s="35"/>
      <c r="E5" s="35"/>
      <c r="G5" s="36"/>
      <c r="H5" s="36"/>
      <c r="I5" s="37"/>
      <c r="J5" s="37"/>
      <c r="K5" s="31"/>
      <c r="L5" s="32"/>
      <c r="M5" s="33"/>
      <c r="N5" s="33"/>
    </row>
    <row r="6" spans="3:11" ht="15" customHeight="1">
      <c r="C6" s="442" t="s">
        <v>34</v>
      </c>
      <c r="D6" s="443"/>
      <c r="E6" s="443"/>
      <c r="F6" s="443"/>
      <c r="G6" s="444"/>
      <c r="H6" s="446" t="s">
        <v>88</v>
      </c>
      <c r="I6" s="447"/>
      <c r="J6" s="445"/>
      <c r="K6" s="445"/>
    </row>
    <row r="7" spans="3:11" ht="15" customHeight="1">
      <c r="C7" s="449" t="s">
        <v>254</v>
      </c>
      <c r="D7" s="450"/>
      <c r="E7" s="450"/>
      <c r="F7" s="450"/>
      <c r="G7" s="451"/>
      <c r="H7" s="392">
        <v>1</v>
      </c>
      <c r="I7" s="393"/>
      <c r="J7" s="448"/>
      <c r="K7" s="448"/>
    </row>
    <row r="8" spans="3:11" ht="15" customHeight="1">
      <c r="C8" s="449" t="s">
        <v>255</v>
      </c>
      <c r="D8" s="450"/>
      <c r="E8" s="450"/>
      <c r="F8" s="450"/>
      <c r="G8" s="451"/>
      <c r="H8" s="392">
        <v>1</v>
      </c>
      <c r="I8" s="393"/>
      <c r="J8" s="43"/>
      <c r="K8" s="43"/>
    </row>
    <row r="9" spans="3:11" ht="15" customHeight="1">
      <c r="C9" s="449" t="s">
        <v>119</v>
      </c>
      <c r="D9" s="450"/>
      <c r="E9" s="450"/>
      <c r="F9" s="450"/>
      <c r="G9" s="451"/>
      <c r="H9" s="392">
        <v>4</v>
      </c>
      <c r="I9" s="393"/>
      <c r="J9" s="43"/>
      <c r="K9" s="43"/>
    </row>
    <row r="10" spans="3:11" ht="15" customHeight="1">
      <c r="C10" s="453" t="s">
        <v>1</v>
      </c>
      <c r="D10" s="454"/>
      <c r="E10" s="454"/>
      <c r="F10" s="454"/>
      <c r="G10" s="455"/>
      <c r="H10" s="456">
        <f>SUM(H7:I9)</f>
        <v>6</v>
      </c>
      <c r="I10" s="457"/>
      <c r="J10" s="461"/>
      <c r="K10" s="461"/>
    </row>
    <row r="11" spans="3:11" ht="9" customHeight="1">
      <c r="C11" s="44"/>
      <c r="D11" s="44"/>
      <c r="E11" s="44"/>
      <c r="F11" s="44"/>
      <c r="G11" s="44"/>
      <c r="H11" s="45"/>
      <c r="I11" s="45"/>
      <c r="J11" s="43"/>
      <c r="K11" s="43"/>
    </row>
    <row r="12" ht="15" customHeight="1">
      <c r="C12" s="46" t="s">
        <v>35</v>
      </c>
    </row>
    <row r="13" ht="15" customHeight="1"/>
    <row r="14" spans="3:11" ht="15" customHeight="1">
      <c r="C14" s="458" t="s">
        <v>256</v>
      </c>
      <c r="D14" s="459"/>
      <c r="E14" s="459"/>
      <c r="F14" s="459"/>
      <c r="G14" s="459"/>
      <c r="H14" s="459"/>
      <c r="I14" s="459"/>
      <c r="J14" s="459"/>
      <c r="K14" s="460"/>
    </row>
    <row r="15" spans="1:15" s="35" customFormat="1" ht="15" customHeight="1">
      <c r="A15" s="34"/>
      <c r="B15" s="38"/>
      <c r="C15" s="453" t="s">
        <v>12</v>
      </c>
      <c r="D15" s="454"/>
      <c r="E15" s="454"/>
      <c r="F15" s="455"/>
      <c r="G15" s="47" t="s">
        <v>42</v>
      </c>
      <c r="H15" s="421" t="s">
        <v>45</v>
      </c>
      <c r="I15" s="420"/>
      <c r="J15" s="421" t="s">
        <v>46</v>
      </c>
      <c r="K15" s="420"/>
      <c r="M15" s="34"/>
      <c r="O15" s="34"/>
    </row>
    <row r="16" spans="1:15" s="35" customFormat="1" ht="15" customHeight="1">
      <c r="A16" s="34"/>
      <c r="B16" s="38"/>
      <c r="C16" s="422" t="s">
        <v>219</v>
      </c>
      <c r="D16" s="423"/>
      <c r="E16" s="423"/>
      <c r="F16" s="424"/>
      <c r="G16" s="51">
        <f>'1. Forn. de Mudas e Plantio'!G15</f>
        <v>6</v>
      </c>
      <c r="H16" s="395">
        <f>'1. Forn. de Mudas e Plantio'!H15:I15</f>
        <v>41.67</v>
      </c>
      <c r="I16" s="396"/>
      <c r="J16" s="395">
        <f aca="true" t="shared" si="0" ref="J16:J24">ROUND(G16*H16,2)</f>
        <v>250.02</v>
      </c>
      <c r="K16" s="396"/>
      <c r="M16" s="34"/>
      <c r="O16" s="34"/>
    </row>
    <row r="17" spans="1:15" s="35" customFormat="1" ht="15" customHeight="1">
      <c r="A17" s="34"/>
      <c r="B17" s="38"/>
      <c r="C17" s="422" t="s">
        <v>218</v>
      </c>
      <c r="D17" s="423"/>
      <c r="E17" s="423"/>
      <c r="F17" s="424"/>
      <c r="G17" s="51">
        <f>'1. Forn. de Mudas e Plantio'!G16</f>
        <v>6</v>
      </c>
      <c r="H17" s="395">
        <f>'1. Forn. de Mudas e Plantio'!H16:I16</f>
        <v>82.75</v>
      </c>
      <c r="I17" s="396"/>
      <c r="J17" s="395">
        <f t="shared" si="0"/>
        <v>496.5</v>
      </c>
      <c r="K17" s="396"/>
      <c r="M17" s="34"/>
      <c r="O17" s="34"/>
    </row>
    <row r="18" spans="1:15" s="35" customFormat="1" ht="15" customHeight="1">
      <c r="A18" s="34"/>
      <c r="B18" s="38"/>
      <c r="C18" s="422" t="s">
        <v>129</v>
      </c>
      <c r="D18" s="423"/>
      <c r="E18" s="423"/>
      <c r="F18" s="424"/>
      <c r="G18" s="51">
        <v>3</v>
      </c>
      <c r="H18" s="395">
        <f>'1. Forn. de Mudas e Plantio'!H17:I17</f>
        <v>38.28</v>
      </c>
      <c r="I18" s="396"/>
      <c r="J18" s="395">
        <f t="shared" si="0"/>
        <v>114.84</v>
      </c>
      <c r="K18" s="396"/>
      <c r="M18" s="34"/>
      <c r="O18" s="34"/>
    </row>
    <row r="19" spans="1:15" s="35" customFormat="1" ht="15" customHeight="1">
      <c r="A19" s="34"/>
      <c r="B19" s="38"/>
      <c r="C19" s="422" t="s">
        <v>17</v>
      </c>
      <c r="D19" s="423"/>
      <c r="E19" s="423"/>
      <c r="F19" s="424"/>
      <c r="G19" s="51">
        <v>3</v>
      </c>
      <c r="H19" s="395">
        <f>'1. Forn. de Mudas e Plantio'!H18:I18</f>
        <v>41.8</v>
      </c>
      <c r="I19" s="396"/>
      <c r="J19" s="395">
        <f t="shared" si="0"/>
        <v>125.4</v>
      </c>
      <c r="K19" s="396"/>
      <c r="M19" s="34"/>
      <c r="O19" s="34"/>
    </row>
    <row r="20" spans="1:15" s="35" customFormat="1" ht="15" customHeight="1">
      <c r="A20" s="34"/>
      <c r="B20" s="38"/>
      <c r="C20" s="422" t="s">
        <v>79</v>
      </c>
      <c r="D20" s="423"/>
      <c r="E20" s="423"/>
      <c r="F20" s="424"/>
      <c r="G20" s="57">
        <v>1</v>
      </c>
      <c r="H20" s="395">
        <f>'1. Forn. de Mudas e Plantio'!H19:I19</f>
        <v>27.33</v>
      </c>
      <c r="I20" s="396"/>
      <c r="J20" s="395">
        <f t="shared" si="0"/>
        <v>27.33</v>
      </c>
      <c r="K20" s="396"/>
      <c r="M20" s="34"/>
      <c r="O20" s="34"/>
    </row>
    <row r="21" spans="1:15" s="35" customFormat="1" ht="15" customHeight="1">
      <c r="A21" s="34"/>
      <c r="B21" s="38"/>
      <c r="C21" s="54" t="s">
        <v>220</v>
      </c>
      <c r="D21" s="55"/>
      <c r="E21" s="55"/>
      <c r="F21" s="56"/>
      <c r="G21" s="58">
        <v>3</v>
      </c>
      <c r="H21" s="395">
        <f>'1. Forn. de Mudas e Plantio'!H20:I20</f>
        <v>9.93</v>
      </c>
      <c r="I21" s="396"/>
      <c r="J21" s="395">
        <f t="shared" si="0"/>
        <v>29.79</v>
      </c>
      <c r="K21" s="396"/>
      <c r="M21" s="34"/>
      <c r="O21" s="34"/>
    </row>
    <row r="22" spans="1:15" s="35" customFormat="1" ht="15" customHeight="1">
      <c r="A22" s="34"/>
      <c r="B22" s="38"/>
      <c r="C22" s="54" t="s">
        <v>217</v>
      </c>
      <c r="D22" s="55"/>
      <c r="E22" s="55"/>
      <c r="F22" s="56"/>
      <c r="G22" s="58">
        <v>3</v>
      </c>
      <c r="H22" s="395">
        <f>'1. Forn. de Mudas e Plantio'!H21:I21</f>
        <v>3.85</v>
      </c>
      <c r="I22" s="396"/>
      <c r="J22" s="395">
        <f t="shared" si="0"/>
        <v>11.55</v>
      </c>
      <c r="K22" s="396"/>
      <c r="M22" s="34"/>
      <c r="O22" s="34"/>
    </row>
    <row r="23" spans="1:15" s="35" customFormat="1" ht="15" customHeight="1">
      <c r="A23" s="34"/>
      <c r="B23" s="38"/>
      <c r="C23" s="54" t="s">
        <v>216</v>
      </c>
      <c r="D23" s="55"/>
      <c r="E23" s="55"/>
      <c r="F23" s="56"/>
      <c r="G23" s="58">
        <v>3</v>
      </c>
      <c r="H23" s="395">
        <f>'1. Forn. de Mudas e Plantio'!H22:I22</f>
        <v>29.29</v>
      </c>
      <c r="I23" s="396"/>
      <c r="J23" s="395">
        <f t="shared" si="0"/>
        <v>87.87</v>
      </c>
      <c r="K23" s="396"/>
      <c r="M23" s="34"/>
      <c r="O23" s="34"/>
    </row>
    <row r="24" spans="1:15" s="35" customFormat="1" ht="15" customHeight="1">
      <c r="A24" s="34"/>
      <c r="B24" s="38"/>
      <c r="C24" s="435" t="s">
        <v>221</v>
      </c>
      <c r="D24" s="436"/>
      <c r="E24" s="436"/>
      <c r="F24" s="437"/>
      <c r="G24" s="52">
        <v>6</v>
      </c>
      <c r="H24" s="395">
        <f>'1. Forn. de Mudas e Plantio'!H23:I23</f>
        <v>14.45</v>
      </c>
      <c r="I24" s="396"/>
      <c r="J24" s="395">
        <f t="shared" si="0"/>
        <v>86.7</v>
      </c>
      <c r="K24" s="396"/>
      <c r="M24" s="34"/>
      <c r="O24" s="34"/>
    </row>
    <row r="25" spans="1:15" s="35" customFormat="1" ht="15" customHeight="1">
      <c r="A25" s="34"/>
      <c r="B25" s="38"/>
      <c r="C25" s="441" t="s">
        <v>261</v>
      </c>
      <c r="D25" s="441"/>
      <c r="E25" s="441"/>
      <c r="F25" s="441"/>
      <c r="G25" s="52">
        <v>2</v>
      </c>
      <c r="H25" s="395">
        <f>Insumos!D73</f>
        <v>32.51</v>
      </c>
      <c r="I25" s="396"/>
      <c r="J25" s="395">
        <f>ROUND(G25*H25,2)</f>
        <v>65.02</v>
      </c>
      <c r="K25" s="396"/>
      <c r="M25" s="34"/>
      <c r="O25" s="34"/>
    </row>
    <row r="26" spans="1:15" s="35" customFormat="1" ht="15" customHeight="1">
      <c r="A26" s="34"/>
      <c r="B26" s="38"/>
      <c r="C26" s="422" t="s">
        <v>44</v>
      </c>
      <c r="D26" s="423"/>
      <c r="E26" s="423"/>
      <c r="F26" s="423"/>
      <c r="G26" s="423"/>
      <c r="H26" s="423"/>
      <c r="I26" s="424"/>
      <c r="J26" s="425">
        <f>SUM(J16:K25)</f>
        <v>1295.02</v>
      </c>
      <c r="K26" s="426"/>
      <c r="M26" s="34"/>
      <c r="O26" s="34"/>
    </row>
    <row r="27" spans="1:15" s="35" customFormat="1" ht="15" customHeight="1">
      <c r="A27" s="34"/>
      <c r="B27" s="38"/>
      <c r="C27" s="438" t="s">
        <v>47</v>
      </c>
      <c r="D27" s="439"/>
      <c r="E27" s="439"/>
      <c r="F27" s="439"/>
      <c r="G27" s="439"/>
      <c r="H27" s="439"/>
      <c r="I27" s="440"/>
      <c r="J27" s="468">
        <f>ROUND(J26/12,2)</f>
        <v>107.92</v>
      </c>
      <c r="K27" s="469"/>
      <c r="M27" s="34"/>
      <c r="O27" s="34"/>
    </row>
    <row r="28" spans="1:15" s="35" customFormat="1" ht="15" customHeight="1">
      <c r="A28" s="3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O28" s="34"/>
    </row>
    <row r="29" spans="3:11" ht="15" customHeight="1">
      <c r="C29" s="458" t="s">
        <v>257</v>
      </c>
      <c r="D29" s="459"/>
      <c r="E29" s="459"/>
      <c r="F29" s="459"/>
      <c r="G29" s="459"/>
      <c r="H29" s="459"/>
      <c r="I29" s="459"/>
      <c r="J29" s="459"/>
      <c r="K29" s="460"/>
    </row>
    <row r="30" spans="1:15" s="35" customFormat="1" ht="15" customHeight="1">
      <c r="A30" s="34"/>
      <c r="B30" s="38"/>
      <c r="C30" s="453" t="s">
        <v>12</v>
      </c>
      <c r="D30" s="454"/>
      <c r="E30" s="454"/>
      <c r="F30" s="455"/>
      <c r="G30" s="146" t="s">
        <v>42</v>
      </c>
      <c r="H30" s="146"/>
      <c r="I30" s="180" t="s">
        <v>45</v>
      </c>
      <c r="J30" s="452" t="s">
        <v>46</v>
      </c>
      <c r="K30" s="452"/>
      <c r="M30" s="34"/>
      <c r="O30" s="34"/>
    </row>
    <row r="31" spans="1:15" s="35" customFormat="1" ht="15" customHeight="1">
      <c r="A31" s="34"/>
      <c r="B31" s="38"/>
      <c r="C31" s="441" t="s">
        <v>267</v>
      </c>
      <c r="D31" s="441"/>
      <c r="E31" s="441"/>
      <c r="F31" s="441"/>
      <c r="G31" s="52">
        <v>2</v>
      </c>
      <c r="H31" s="52"/>
      <c r="I31" s="108">
        <f>Insumos!D74</f>
        <v>53.89</v>
      </c>
      <c r="J31" s="395">
        <f aca="true" t="shared" si="1" ref="J31:J41">ROUND(G31*I31,2)</f>
        <v>107.78</v>
      </c>
      <c r="K31" s="396"/>
      <c r="M31" s="34"/>
      <c r="O31" s="34"/>
    </row>
    <row r="32" spans="1:15" s="35" customFormat="1" ht="15" customHeight="1">
      <c r="A32" s="34"/>
      <c r="B32" s="38"/>
      <c r="C32" s="441" t="s">
        <v>266</v>
      </c>
      <c r="D32" s="441"/>
      <c r="E32" s="441"/>
      <c r="F32" s="441"/>
      <c r="G32" s="52">
        <v>2</v>
      </c>
      <c r="H32" s="52"/>
      <c r="I32" s="108">
        <f>Insumos!D77</f>
        <v>148.72</v>
      </c>
      <c r="J32" s="395">
        <f t="shared" si="1"/>
        <v>297.44</v>
      </c>
      <c r="K32" s="396"/>
      <c r="M32" s="34"/>
      <c r="O32" s="34"/>
    </row>
    <row r="33" spans="1:15" s="35" customFormat="1" ht="12.75">
      <c r="A33" s="34"/>
      <c r="B33" s="38"/>
      <c r="C33" s="510" t="s">
        <v>268</v>
      </c>
      <c r="D33" s="511"/>
      <c r="E33" s="511"/>
      <c r="F33" s="512"/>
      <c r="G33" s="52">
        <v>2</v>
      </c>
      <c r="H33" s="52"/>
      <c r="I33" s="108">
        <f>Insumos!D78</f>
        <v>345.94</v>
      </c>
      <c r="J33" s="395">
        <f t="shared" si="1"/>
        <v>691.88</v>
      </c>
      <c r="K33" s="396"/>
      <c r="M33" s="34"/>
      <c r="O33" s="34"/>
    </row>
    <row r="34" spans="1:15" s="35" customFormat="1" ht="26.25" customHeight="1">
      <c r="A34" s="34"/>
      <c r="B34" s="38"/>
      <c r="C34" s="510" t="s">
        <v>265</v>
      </c>
      <c r="D34" s="511"/>
      <c r="E34" s="511"/>
      <c r="F34" s="512"/>
      <c r="G34" s="52">
        <f>Insumos!D79</f>
        <v>41.8</v>
      </c>
      <c r="H34" s="52"/>
      <c r="I34" s="108">
        <f>Insumos!D79</f>
        <v>41.8</v>
      </c>
      <c r="J34" s="395">
        <f t="shared" si="1"/>
        <v>1747.24</v>
      </c>
      <c r="K34" s="396"/>
      <c r="M34" s="34"/>
      <c r="O34" s="34"/>
    </row>
    <row r="35" spans="1:15" s="35" customFormat="1" ht="15" customHeight="1">
      <c r="A35" s="34"/>
      <c r="B35" s="38"/>
      <c r="C35" s="510" t="s">
        <v>260</v>
      </c>
      <c r="D35" s="511"/>
      <c r="E35" s="511"/>
      <c r="F35" s="512"/>
      <c r="G35" s="52">
        <v>3</v>
      </c>
      <c r="H35" s="52"/>
      <c r="I35" s="108">
        <f>Insumos!D72</f>
        <v>29.29</v>
      </c>
      <c r="J35" s="395">
        <f t="shared" si="1"/>
        <v>87.87</v>
      </c>
      <c r="K35" s="396"/>
      <c r="M35" s="34"/>
      <c r="O35" s="34"/>
    </row>
    <row r="36" spans="1:15" s="35" customFormat="1" ht="15" customHeight="1">
      <c r="A36" s="34"/>
      <c r="B36" s="38"/>
      <c r="C36" s="510" t="s">
        <v>259</v>
      </c>
      <c r="D36" s="511"/>
      <c r="E36" s="511"/>
      <c r="F36" s="512"/>
      <c r="G36" s="52">
        <v>12</v>
      </c>
      <c r="H36" s="52"/>
      <c r="I36" s="108">
        <f>Insumos!D76</f>
        <v>3.85</v>
      </c>
      <c r="J36" s="395">
        <f t="shared" si="1"/>
        <v>46.2</v>
      </c>
      <c r="K36" s="396"/>
      <c r="M36" s="34"/>
      <c r="O36" s="34"/>
    </row>
    <row r="37" spans="1:15" s="35" customFormat="1" ht="24" customHeight="1">
      <c r="A37" s="34"/>
      <c r="B37" s="38"/>
      <c r="C37" s="510" t="s">
        <v>264</v>
      </c>
      <c r="D37" s="511"/>
      <c r="E37" s="511"/>
      <c r="F37" s="512"/>
      <c r="G37" s="52">
        <v>3</v>
      </c>
      <c r="H37" s="52"/>
      <c r="I37" s="108">
        <f>Insumos!D68</f>
        <v>198.13</v>
      </c>
      <c r="J37" s="395">
        <f t="shared" si="1"/>
        <v>594.39</v>
      </c>
      <c r="K37" s="396"/>
      <c r="M37" s="34"/>
      <c r="O37" s="34"/>
    </row>
    <row r="38" spans="1:15" s="35" customFormat="1" ht="21.75" customHeight="1">
      <c r="A38" s="34"/>
      <c r="B38" s="38"/>
      <c r="C38" s="510" t="s">
        <v>258</v>
      </c>
      <c r="D38" s="511"/>
      <c r="E38" s="511"/>
      <c r="F38" s="512"/>
      <c r="G38" s="52">
        <v>3</v>
      </c>
      <c r="H38" s="52"/>
      <c r="I38" s="108">
        <f>Insumos!D70</f>
        <v>300.2</v>
      </c>
      <c r="J38" s="395">
        <f t="shared" si="1"/>
        <v>900.6</v>
      </c>
      <c r="K38" s="396"/>
      <c r="M38" s="34"/>
      <c r="O38" s="34"/>
    </row>
    <row r="39" spans="1:15" s="35" customFormat="1" ht="15" customHeight="1">
      <c r="A39" s="34"/>
      <c r="B39" s="38"/>
      <c r="C39" s="510" t="s">
        <v>220</v>
      </c>
      <c r="D39" s="511"/>
      <c r="E39" s="511"/>
      <c r="F39" s="512"/>
      <c r="G39" s="58">
        <v>12</v>
      </c>
      <c r="H39" s="52"/>
      <c r="I39" s="108">
        <f>Insumos!D75</f>
        <v>9.93</v>
      </c>
      <c r="J39" s="395">
        <f t="shared" si="1"/>
        <v>119.16</v>
      </c>
      <c r="K39" s="396"/>
      <c r="M39" s="34"/>
      <c r="O39" s="34"/>
    </row>
    <row r="40" spans="1:15" s="35" customFormat="1" ht="18" customHeight="1">
      <c r="A40" s="34"/>
      <c r="B40" s="38"/>
      <c r="C40" s="517" t="s">
        <v>263</v>
      </c>
      <c r="D40" s="518"/>
      <c r="E40" s="518"/>
      <c r="F40" s="519"/>
      <c r="G40" s="58">
        <v>2</v>
      </c>
      <c r="H40" s="52"/>
      <c r="I40" s="108">
        <f>Insumos!D83</f>
        <v>15.71</v>
      </c>
      <c r="J40" s="395">
        <f t="shared" si="1"/>
        <v>31.42</v>
      </c>
      <c r="K40" s="396"/>
      <c r="M40" s="34"/>
      <c r="O40" s="34"/>
    </row>
    <row r="41" spans="1:15" s="35" customFormat="1" ht="18" customHeight="1">
      <c r="A41" s="34"/>
      <c r="B41" s="38"/>
      <c r="C41" s="521" t="str">
        <f>C24</f>
        <v>Protetor solar FPS 30 tubo 120 ml</v>
      </c>
      <c r="D41" s="521"/>
      <c r="E41" s="521"/>
      <c r="F41" s="521"/>
      <c r="G41" s="51">
        <v>6</v>
      </c>
      <c r="H41" s="52"/>
      <c r="I41" s="151">
        <f>Insumos!D82</f>
        <v>14.45</v>
      </c>
      <c r="J41" s="395">
        <f t="shared" si="1"/>
        <v>86.7</v>
      </c>
      <c r="K41" s="396"/>
      <c r="M41" s="34"/>
      <c r="O41" s="34"/>
    </row>
    <row r="42" spans="1:15" s="35" customFormat="1" ht="18" customHeight="1">
      <c r="A42" s="34"/>
      <c r="B42" s="38"/>
      <c r="C42" s="521" t="s">
        <v>427</v>
      </c>
      <c r="D42" s="521"/>
      <c r="E42" s="521"/>
      <c r="F42" s="521"/>
      <c r="G42" s="51">
        <v>12</v>
      </c>
      <c r="H42" s="52"/>
      <c r="I42" s="151">
        <v>5.2</v>
      </c>
      <c r="J42" s="395">
        <f>ROUND(G42*I42,2)</f>
        <v>62.4</v>
      </c>
      <c r="K42" s="396"/>
      <c r="M42" s="34"/>
      <c r="O42" s="34"/>
    </row>
    <row r="43" spans="1:15" s="35" customFormat="1" ht="15" customHeight="1">
      <c r="A43" s="34"/>
      <c r="B43" s="38"/>
      <c r="C43" s="441" t="s">
        <v>261</v>
      </c>
      <c r="D43" s="441"/>
      <c r="E43" s="441"/>
      <c r="F43" s="441"/>
      <c r="G43" s="52">
        <v>2</v>
      </c>
      <c r="H43" s="52"/>
      <c r="I43" s="108">
        <f>Insumos!D73</f>
        <v>32.51</v>
      </c>
      <c r="J43" s="395">
        <f>ROUND(G43*I43,2)</f>
        <v>65.02</v>
      </c>
      <c r="K43" s="396"/>
      <c r="M43" s="34"/>
      <c r="O43" s="34"/>
    </row>
    <row r="44" spans="1:15" s="35" customFormat="1" ht="15" customHeight="1">
      <c r="A44" s="34"/>
      <c r="B44" s="38"/>
      <c r="C44" s="422" t="s">
        <v>44</v>
      </c>
      <c r="D44" s="423"/>
      <c r="E44" s="423"/>
      <c r="F44" s="423"/>
      <c r="G44" s="423"/>
      <c r="H44" s="423"/>
      <c r="I44" s="424"/>
      <c r="J44" s="425">
        <f>SUM(J31:K43)</f>
        <v>4838.1</v>
      </c>
      <c r="K44" s="426"/>
      <c r="M44" s="34"/>
      <c r="O44" s="34"/>
    </row>
    <row r="45" spans="1:15" s="35" customFormat="1" ht="15" customHeight="1">
      <c r="A45" s="34"/>
      <c r="B45" s="38"/>
      <c r="C45" s="438" t="s">
        <v>47</v>
      </c>
      <c r="D45" s="439"/>
      <c r="E45" s="439"/>
      <c r="F45" s="439"/>
      <c r="G45" s="439"/>
      <c r="H45" s="439"/>
      <c r="I45" s="440"/>
      <c r="J45" s="468">
        <f>ROUND(J44/12,2)</f>
        <v>403.18</v>
      </c>
      <c r="K45" s="469"/>
      <c r="M45" s="34"/>
      <c r="O45" s="34"/>
    </row>
    <row r="46" spans="1:15" s="35" customFormat="1" ht="15" customHeight="1">
      <c r="A46" s="34"/>
      <c r="B46" s="38"/>
      <c r="C46" s="63"/>
      <c r="D46" s="63"/>
      <c r="E46" s="63"/>
      <c r="F46" s="63"/>
      <c r="G46" s="63"/>
      <c r="H46" s="63"/>
      <c r="I46" s="63"/>
      <c r="J46" s="64"/>
      <c r="K46" s="64"/>
      <c r="M46" s="34"/>
      <c r="O46" s="34"/>
    </row>
    <row r="47" spans="1:15" s="35" customFormat="1" ht="15" customHeight="1">
      <c r="A47" s="34"/>
      <c r="B47" s="38"/>
      <c r="C47" s="65" t="s">
        <v>262</v>
      </c>
      <c r="D47" s="66"/>
      <c r="E47" s="67"/>
      <c r="F47" s="66"/>
      <c r="G47" s="67"/>
      <c r="H47" s="66"/>
      <c r="I47" s="68"/>
      <c r="J47" s="69"/>
      <c r="K47" s="70"/>
      <c r="M47" s="34"/>
      <c r="O47" s="34"/>
    </row>
    <row r="48" spans="1:15" s="35" customFormat="1" ht="15" customHeight="1">
      <c r="A48" s="34"/>
      <c r="B48" s="38"/>
      <c r="C48" s="71" t="s">
        <v>11</v>
      </c>
      <c r="D48" s="72"/>
      <c r="E48" s="73">
        <v>1</v>
      </c>
      <c r="F48" s="72" t="s">
        <v>9</v>
      </c>
      <c r="G48" s="74">
        <f>Insumos!D8</f>
        <v>1252.68</v>
      </c>
      <c r="H48" s="72" t="s">
        <v>10</v>
      </c>
      <c r="I48" s="75">
        <f aca="true" t="shared" si="2" ref="I48:I53">ROUND(E48*G48,2)</f>
        <v>1252.68</v>
      </c>
      <c r="K48" s="34"/>
      <c r="M48" s="34"/>
      <c r="O48" s="34"/>
    </row>
    <row r="49" spans="1:15" s="35" customFormat="1" ht="15" customHeight="1">
      <c r="A49" s="34"/>
      <c r="B49" s="38"/>
      <c r="C49" s="71" t="s">
        <v>350</v>
      </c>
      <c r="D49" s="72"/>
      <c r="E49" s="76">
        <v>0.3</v>
      </c>
      <c r="F49" s="72" t="s">
        <v>9</v>
      </c>
      <c r="G49" s="74">
        <f>G48</f>
        <v>1252.68</v>
      </c>
      <c r="H49" s="72" t="s">
        <v>10</v>
      </c>
      <c r="I49" s="75">
        <f t="shared" si="2"/>
        <v>375.8</v>
      </c>
      <c r="J49" s="394"/>
      <c r="K49" s="394"/>
      <c r="M49" s="34"/>
      <c r="O49" s="34"/>
    </row>
    <row r="50" spans="1:15" s="35" customFormat="1" ht="15" customHeight="1">
      <c r="A50" s="34"/>
      <c r="B50" s="38"/>
      <c r="C50" s="71" t="s">
        <v>36</v>
      </c>
      <c r="D50" s="72"/>
      <c r="E50" s="77">
        <v>0</v>
      </c>
      <c r="F50" s="72" t="s">
        <v>9</v>
      </c>
      <c r="G50" s="74">
        <f>ROUND(G48/220*1.5,2)</f>
        <v>8.54</v>
      </c>
      <c r="H50" s="72" t="s">
        <v>10</v>
      </c>
      <c r="I50" s="75">
        <f t="shared" si="2"/>
        <v>0</v>
      </c>
      <c r="K50" s="34"/>
      <c r="M50" s="34"/>
      <c r="O50" s="34"/>
    </row>
    <row r="51" spans="1:15" s="35" customFormat="1" ht="15" customHeight="1" hidden="1">
      <c r="A51" s="34"/>
      <c r="B51" s="38"/>
      <c r="C51" s="71" t="s">
        <v>68</v>
      </c>
      <c r="D51" s="72"/>
      <c r="E51" s="77">
        <v>0</v>
      </c>
      <c r="F51" s="72" t="s">
        <v>9</v>
      </c>
      <c r="G51" s="74">
        <f>ROUND((G48/220)*2,2)</f>
        <v>11.39</v>
      </c>
      <c r="H51" s="72" t="s">
        <v>10</v>
      </c>
      <c r="I51" s="75">
        <f t="shared" si="2"/>
        <v>0</v>
      </c>
      <c r="K51" s="34"/>
      <c r="M51" s="34"/>
      <c r="O51" s="34"/>
    </row>
    <row r="52" spans="1:15" s="35" customFormat="1" ht="15" customHeight="1" hidden="1">
      <c r="A52" s="34"/>
      <c r="B52" s="38"/>
      <c r="C52" s="71" t="s">
        <v>70</v>
      </c>
      <c r="D52" s="72"/>
      <c r="E52" s="77">
        <v>0</v>
      </c>
      <c r="F52" s="72" t="s">
        <v>9</v>
      </c>
      <c r="G52" s="74">
        <f>(G48/220)*0.2</f>
        <v>1.14</v>
      </c>
      <c r="H52" s="72" t="s">
        <v>10</v>
      </c>
      <c r="I52" s="75">
        <f t="shared" si="2"/>
        <v>0</v>
      </c>
      <c r="K52" s="34"/>
      <c r="M52" s="34"/>
      <c r="O52" s="34"/>
    </row>
    <row r="53" spans="1:15" s="35" customFormat="1" ht="15" customHeight="1">
      <c r="A53" s="34"/>
      <c r="B53" s="38"/>
      <c r="C53" s="71" t="s">
        <v>38</v>
      </c>
      <c r="D53" s="72"/>
      <c r="E53" s="78">
        <f>'COMPOSIÇÃO DOS ENCARGOS '!C43</f>
        <v>0.776</v>
      </c>
      <c r="F53" s="72" t="s">
        <v>9</v>
      </c>
      <c r="G53" s="79">
        <f>SUM(I48:I52)</f>
        <v>1628.48</v>
      </c>
      <c r="H53" s="72" t="s">
        <v>10</v>
      </c>
      <c r="I53" s="75">
        <f t="shared" si="2"/>
        <v>1263.7</v>
      </c>
      <c r="J53" s="39"/>
      <c r="K53" s="34"/>
      <c r="M53" s="34"/>
      <c r="O53" s="34"/>
    </row>
    <row r="54" spans="1:15" s="35" customFormat="1" ht="15" customHeight="1">
      <c r="A54" s="34"/>
      <c r="B54" s="38"/>
      <c r="C54" s="80" t="s">
        <v>40</v>
      </c>
      <c r="D54" s="72"/>
      <c r="E54" s="81"/>
      <c r="F54" s="72"/>
      <c r="G54" s="79"/>
      <c r="H54" s="72"/>
      <c r="I54" s="82">
        <f>SUM(I48:I53)</f>
        <v>2892.18</v>
      </c>
      <c r="J54" s="39"/>
      <c r="K54" s="34"/>
      <c r="M54" s="34"/>
      <c r="O54" s="34"/>
    </row>
    <row r="55" spans="1:15" s="35" customFormat="1" ht="15" customHeight="1">
      <c r="A55" s="34"/>
      <c r="B55" s="38"/>
      <c r="C55" s="71" t="s">
        <v>39</v>
      </c>
      <c r="D55" s="72"/>
      <c r="E55" s="73">
        <v>22</v>
      </c>
      <c r="F55" s="72" t="s">
        <v>9</v>
      </c>
      <c r="G55" s="79">
        <f>Insumos!D96</f>
        <v>15.23</v>
      </c>
      <c r="H55" s="72" t="s">
        <v>10</v>
      </c>
      <c r="I55" s="75">
        <f aca="true" t="shared" si="3" ref="I55:I60">ROUND(E55*G55,2)</f>
        <v>335.06</v>
      </c>
      <c r="J55" s="39"/>
      <c r="K55" s="34"/>
      <c r="M55" s="34"/>
      <c r="O55" s="34"/>
    </row>
    <row r="56" spans="1:15" s="35" customFormat="1" ht="15" customHeight="1">
      <c r="A56" s="34"/>
      <c r="B56" s="38"/>
      <c r="C56" s="71" t="s">
        <v>95</v>
      </c>
      <c r="D56" s="72"/>
      <c r="E56" s="73">
        <f>E48</f>
        <v>1</v>
      </c>
      <c r="F56" s="72" t="s">
        <v>9</v>
      </c>
      <c r="G56" s="79">
        <f>Insumos!D92</f>
        <v>215.25</v>
      </c>
      <c r="H56" s="72" t="s">
        <v>10</v>
      </c>
      <c r="I56" s="75">
        <f t="shared" si="3"/>
        <v>215.25</v>
      </c>
      <c r="J56" s="39"/>
      <c r="K56" s="34"/>
      <c r="M56" s="34"/>
      <c r="O56" s="34"/>
    </row>
    <row r="57" spans="1:15" s="35" customFormat="1" ht="15" customHeight="1">
      <c r="A57" s="34"/>
      <c r="B57" s="38"/>
      <c r="C57" s="71" t="s">
        <v>133</v>
      </c>
      <c r="D57" s="72"/>
      <c r="E57" s="73">
        <v>1</v>
      </c>
      <c r="F57" s="72" t="s">
        <v>9</v>
      </c>
      <c r="G57" s="79">
        <f>Insumos!D93</f>
        <v>17.94</v>
      </c>
      <c r="H57" s="72" t="s">
        <v>10</v>
      </c>
      <c r="I57" s="75">
        <f t="shared" si="3"/>
        <v>17.94</v>
      </c>
      <c r="J57" s="83"/>
      <c r="K57" s="34"/>
      <c r="M57" s="34"/>
      <c r="O57" s="34"/>
    </row>
    <row r="58" spans="1:15" s="35" customFormat="1" ht="15" customHeight="1">
      <c r="A58" s="34"/>
      <c r="B58" s="38"/>
      <c r="C58" s="84" t="s">
        <v>177</v>
      </c>
      <c r="D58" s="85"/>
      <c r="E58" s="73">
        <v>1</v>
      </c>
      <c r="F58" s="72" t="s">
        <v>9</v>
      </c>
      <c r="G58" s="79">
        <f>G57</f>
        <v>17.94</v>
      </c>
      <c r="H58" s="72" t="s">
        <v>10</v>
      </c>
      <c r="I58" s="75">
        <f>ROUND(E58*G58,2)</f>
        <v>17.94</v>
      </c>
      <c r="J58" s="83"/>
      <c r="K58" s="34"/>
      <c r="M58" s="34"/>
      <c r="O58" s="34"/>
    </row>
    <row r="59" spans="1:15" s="35" customFormat="1" ht="15" customHeight="1">
      <c r="A59" s="34"/>
      <c r="B59" s="38"/>
      <c r="C59" s="86" t="s">
        <v>171</v>
      </c>
      <c r="D59" s="39"/>
      <c r="E59" s="87">
        <v>1</v>
      </c>
      <c r="F59" s="39" t="s">
        <v>9</v>
      </c>
      <c r="G59" s="88">
        <f>Insumos!D97</f>
        <v>60</v>
      </c>
      <c r="H59" s="39" t="s">
        <v>10</v>
      </c>
      <c r="I59" s="89">
        <f t="shared" si="3"/>
        <v>60</v>
      </c>
      <c r="J59" s="39"/>
      <c r="K59" s="34"/>
      <c r="M59" s="34"/>
      <c r="O59" s="34"/>
    </row>
    <row r="60" spans="1:15" s="35" customFormat="1" ht="15" customHeight="1">
      <c r="A60" s="34"/>
      <c r="B60" s="38"/>
      <c r="C60" s="71" t="s">
        <v>54</v>
      </c>
      <c r="D60" s="72"/>
      <c r="E60" s="73">
        <v>1</v>
      </c>
      <c r="F60" s="72" t="s">
        <v>59</v>
      </c>
      <c r="G60" s="79">
        <f>Insumos!D98</f>
        <v>14</v>
      </c>
      <c r="H60" s="72" t="s">
        <v>10</v>
      </c>
      <c r="I60" s="75">
        <f t="shared" si="3"/>
        <v>14</v>
      </c>
      <c r="J60" s="39"/>
      <c r="K60" s="34"/>
      <c r="M60" s="34"/>
      <c r="O60" s="34"/>
    </row>
    <row r="61" spans="1:15" s="35" customFormat="1" ht="15" customHeight="1">
      <c r="A61" s="34"/>
      <c r="B61" s="38"/>
      <c r="C61" s="84" t="s">
        <v>441</v>
      </c>
      <c r="D61" s="72"/>
      <c r="E61" s="90">
        <f>2*E55</f>
        <v>44</v>
      </c>
      <c r="F61" s="72" t="s">
        <v>9</v>
      </c>
      <c r="G61" s="79">
        <f>Insumos!D95</f>
        <v>3.8</v>
      </c>
      <c r="H61" s="72" t="s">
        <v>10</v>
      </c>
      <c r="I61" s="75">
        <f>IF(G48*6%&lt;E61*G61,ROUND(E61*G61,2)-6%*G48,0)</f>
        <v>92.04</v>
      </c>
      <c r="J61" s="91"/>
      <c r="K61" s="34"/>
      <c r="M61" s="34"/>
      <c r="O61" s="34"/>
    </row>
    <row r="62" spans="1:15" s="35" customFormat="1" ht="15" customHeight="1">
      <c r="A62" s="34"/>
      <c r="B62" s="38"/>
      <c r="C62" s="71" t="s">
        <v>13</v>
      </c>
      <c r="D62" s="72"/>
      <c r="E62" s="92">
        <f>E48</f>
        <v>1</v>
      </c>
      <c r="F62" s="72" t="s">
        <v>9</v>
      </c>
      <c r="G62" s="79">
        <f>J45</f>
        <v>403.18</v>
      </c>
      <c r="H62" s="72" t="s">
        <v>10</v>
      </c>
      <c r="I62" s="75">
        <f>ROUND(E62*G62,2)</f>
        <v>403.18</v>
      </c>
      <c r="J62" s="39"/>
      <c r="K62" s="34"/>
      <c r="M62" s="34"/>
      <c r="O62" s="34"/>
    </row>
    <row r="63" spans="1:15" s="35" customFormat="1" ht="15" customHeight="1">
      <c r="A63" s="34"/>
      <c r="B63" s="38"/>
      <c r="C63" s="80" t="s">
        <v>41</v>
      </c>
      <c r="D63" s="93"/>
      <c r="E63" s="94"/>
      <c r="F63" s="93"/>
      <c r="G63" s="94"/>
      <c r="H63" s="93"/>
      <c r="I63" s="95">
        <f>SUM(I54:I62)</f>
        <v>4047.59</v>
      </c>
      <c r="J63" s="64"/>
      <c r="K63" s="34"/>
      <c r="M63" s="34"/>
      <c r="O63" s="34"/>
    </row>
    <row r="64" spans="1:15" s="35" customFormat="1" ht="15" customHeight="1">
      <c r="A64" s="34"/>
      <c r="B64" s="38"/>
      <c r="C64" s="34"/>
      <c r="E64" s="34"/>
      <c r="G64" s="34"/>
      <c r="I64" s="96"/>
      <c r="K64" s="34"/>
      <c r="M64" s="34"/>
      <c r="O64" s="34"/>
    </row>
    <row r="65" spans="1:15" s="35" customFormat="1" ht="15" customHeight="1">
      <c r="A65" s="34"/>
      <c r="B65" s="38"/>
      <c r="C65" s="65" t="s">
        <v>155</v>
      </c>
      <c r="D65" s="66"/>
      <c r="E65" s="67"/>
      <c r="F65" s="66"/>
      <c r="G65" s="67"/>
      <c r="H65" s="66"/>
      <c r="I65" s="68"/>
      <c r="K65" s="34"/>
      <c r="M65" s="34"/>
      <c r="O65" s="34"/>
    </row>
    <row r="66" spans="1:15" s="35" customFormat="1" ht="15" customHeight="1">
      <c r="A66" s="34"/>
      <c r="B66" s="38"/>
      <c r="C66" s="71" t="s">
        <v>11</v>
      </c>
      <c r="D66" s="72"/>
      <c r="E66" s="73">
        <v>1</v>
      </c>
      <c r="F66" s="72" t="s">
        <v>9</v>
      </c>
      <c r="G66" s="74">
        <f>Insumos!D7</f>
        <v>1252.68</v>
      </c>
      <c r="H66" s="72" t="s">
        <v>10</v>
      </c>
      <c r="I66" s="75">
        <f aca="true" t="shared" si="4" ref="I66:I71">ROUND(E66*G66,2)</f>
        <v>1252.68</v>
      </c>
      <c r="K66" s="34"/>
      <c r="M66" s="34"/>
      <c r="O66" s="34"/>
    </row>
    <row r="67" spans="1:15" s="35" customFormat="1" ht="15" customHeight="1">
      <c r="A67" s="34"/>
      <c r="B67" s="38"/>
      <c r="C67" s="71" t="s">
        <v>2</v>
      </c>
      <c r="D67" s="72"/>
      <c r="E67" s="76">
        <v>0</v>
      </c>
      <c r="F67" s="72" t="s">
        <v>9</v>
      </c>
      <c r="G67" s="74">
        <f>G49</f>
        <v>1252.68</v>
      </c>
      <c r="H67" s="72" t="s">
        <v>10</v>
      </c>
      <c r="I67" s="75">
        <f t="shared" si="4"/>
        <v>0</v>
      </c>
      <c r="J67" s="394"/>
      <c r="K67" s="394"/>
      <c r="M67" s="34"/>
      <c r="O67" s="34"/>
    </row>
    <row r="68" spans="1:15" s="35" customFormat="1" ht="15" customHeight="1">
      <c r="A68" s="34"/>
      <c r="B68" s="38"/>
      <c r="C68" s="71" t="s">
        <v>36</v>
      </c>
      <c r="D68" s="72"/>
      <c r="E68" s="77">
        <v>0</v>
      </c>
      <c r="F68" s="72" t="s">
        <v>9</v>
      </c>
      <c r="G68" s="74">
        <f>ROUND(G66/220*1.5,2)</f>
        <v>8.54</v>
      </c>
      <c r="H68" s="72" t="s">
        <v>10</v>
      </c>
      <c r="I68" s="75">
        <f t="shared" si="4"/>
        <v>0</v>
      </c>
      <c r="K68" s="34"/>
      <c r="M68" s="34"/>
      <c r="O68" s="34"/>
    </row>
    <row r="69" spans="1:15" s="35" customFormat="1" ht="15" customHeight="1" hidden="1">
      <c r="A69" s="34"/>
      <c r="B69" s="38"/>
      <c r="C69" s="71" t="s">
        <v>68</v>
      </c>
      <c r="D69" s="72"/>
      <c r="E69" s="77">
        <v>0</v>
      </c>
      <c r="F69" s="72" t="s">
        <v>9</v>
      </c>
      <c r="G69" s="74">
        <f>ROUND((G66/220)*2,2)</f>
        <v>11.39</v>
      </c>
      <c r="H69" s="72" t="s">
        <v>10</v>
      </c>
      <c r="I69" s="75">
        <f t="shared" si="4"/>
        <v>0</v>
      </c>
      <c r="K69" s="34"/>
      <c r="M69" s="34"/>
      <c r="O69" s="34"/>
    </row>
    <row r="70" spans="1:15" s="35" customFormat="1" ht="15" customHeight="1" hidden="1">
      <c r="A70" s="34"/>
      <c r="B70" s="38"/>
      <c r="C70" s="71" t="s">
        <v>70</v>
      </c>
      <c r="D70" s="72"/>
      <c r="E70" s="77">
        <v>0</v>
      </c>
      <c r="F70" s="72" t="s">
        <v>9</v>
      </c>
      <c r="G70" s="74">
        <f>(G66/220)*0.2</f>
        <v>1.14</v>
      </c>
      <c r="H70" s="72" t="s">
        <v>10</v>
      </c>
      <c r="I70" s="75">
        <f t="shared" si="4"/>
        <v>0</v>
      </c>
      <c r="K70" s="34"/>
      <c r="M70" s="34"/>
      <c r="O70" s="34"/>
    </row>
    <row r="71" spans="1:15" s="35" customFormat="1" ht="15" customHeight="1">
      <c r="A71" s="34"/>
      <c r="B71" s="38"/>
      <c r="C71" s="71" t="s">
        <v>38</v>
      </c>
      <c r="D71" s="72"/>
      <c r="E71" s="78">
        <f>E53</f>
        <v>0.776</v>
      </c>
      <c r="F71" s="72" t="s">
        <v>9</v>
      </c>
      <c r="G71" s="79">
        <f>SUM(I66:I70)</f>
        <v>1252.68</v>
      </c>
      <c r="H71" s="72" t="s">
        <v>10</v>
      </c>
      <c r="I71" s="75">
        <f t="shared" si="4"/>
        <v>972.08</v>
      </c>
      <c r="J71" s="39"/>
      <c r="K71" s="34"/>
      <c r="M71" s="34"/>
      <c r="O71" s="34"/>
    </row>
    <row r="72" spans="1:15" s="35" customFormat="1" ht="15" customHeight="1">
      <c r="A72" s="34"/>
      <c r="B72" s="38"/>
      <c r="C72" s="80" t="s">
        <v>40</v>
      </c>
      <c r="D72" s="72"/>
      <c r="E72" s="81"/>
      <c r="F72" s="72"/>
      <c r="G72" s="79"/>
      <c r="H72" s="72"/>
      <c r="I72" s="82">
        <f>SUM(I66:I71)</f>
        <v>2224.76</v>
      </c>
      <c r="J72" s="39"/>
      <c r="K72" s="34"/>
      <c r="M72" s="34"/>
      <c r="O72" s="34"/>
    </row>
    <row r="73" spans="1:15" s="35" customFormat="1" ht="15" customHeight="1">
      <c r="A73" s="34"/>
      <c r="B73" s="38"/>
      <c r="C73" s="71" t="s">
        <v>39</v>
      </c>
      <c r="D73" s="72"/>
      <c r="E73" s="73">
        <f>E55</f>
        <v>22</v>
      </c>
      <c r="F73" s="72" t="s">
        <v>9</v>
      </c>
      <c r="G73" s="79">
        <f>G55</f>
        <v>15.23</v>
      </c>
      <c r="H73" s="72" t="s">
        <v>10</v>
      </c>
      <c r="I73" s="75">
        <f aca="true" t="shared" si="5" ref="I73:I78">ROUND(E73*G73,2)</f>
        <v>335.06</v>
      </c>
      <c r="J73" s="39"/>
      <c r="K73" s="34"/>
      <c r="M73" s="34"/>
      <c r="O73" s="34"/>
    </row>
    <row r="74" spans="1:15" s="35" customFormat="1" ht="15" customHeight="1">
      <c r="A74" s="34"/>
      <c r="B74" s="38"/>
      <c r="C74" s="71" t="s">
        <v>95</v>
      </c>
      <c r="D74" s="72"/>
      <c r="E74" s="73">
        <f>E66</f>
        <v>1</v>
      </c>
      <c r="F74" s="72" t="s">
        <v>9</v>
      </c>
      <c r="G74" s="79">
        <f>G56</f>
        <v>215.25</v>
      </c>
      <c r="H74" s="72" t="s">
        <v>10</v>
      </c>
      <c r="I74" s="75">
        <f t="shared" si="5"/>
        <v>215.25</v>
      </c>
      <c r="J74" s="39"/>
      <c r="K74" s="34"/>
      <c r="M74" s="34"/>
      <c r="O74" s="34"/>
    </row>
    <row r="75" spans="1:15" s="35" customFormat="1" ht="15" customHeight="1">
      <c r="A75" s="34"/>
      <c r="B75" s="38"/>
      <c r="C75" s="71" t="s">
        <v>133</v>
      </c>
      <c r="D75" s="72"/>
      <c r="E75" s="73">
        <v>1</v>
      </c>
      <c r="F75" s="72" t="s">
        <v>9</v>
      </c>
      <c r="G75" s="79">
        <f>G57</f>
        <v>17.94</v>
      </c>
      <c r="H75" s="72" t="s">
        <v>10</v>
      </c>
      <c r="I75" s="75">
        <f t="shared" si="5"/>
        <v>17.94</v>
      </c>
      <c r="J75" s="83"/>
      <c r="K75" s="34"/>
      <c r="M75" s="34"/>
      <c r="O75" s="34"/>
    </row>
    <row r="76" spans="1:15" s="35" customFormat="1" ht="15" customHeight="1">
      <c r="A76" s="34"/>
      <c r="B76" s="38"/>
      <c r="C76" s="86" t="str">
        <f>C58</f>
        <v>Gratificação de Férias (1/12)</v>
      </c>
      <c r="D76" s="72"/>
      <c r="E76" s="73">
        <f>E66</f>
        <v>1</v>
      </c>
      <c r="F76" s="72" t="s">
        <v>9</v>
      </c>
      <c r="G76" s="79">
        <f>G75</f>
        <v>17.94</v>
      </c>
      <c r="H76" s="72" t="s">
        <v>10</v>
      </c>
      <c r="I76" s="75">
        <f t="shared" si="5"/>
        <v>17.94</v>
      </c>
      <c r="J76" s="39"/>
      <c r="K76" s="34"/>
      <c r="M76" s="34"/>
      <c r="O76" s="34"/>
    </row>
    <row r="77" spans="1:15" s="35" customFormat="1" ht="15" customHeight="1">
      <c r="A77" s="34"/>
      <c r="B77" s="38"/>
      <c r="C77" s="97" t="str">
        <f>C59</f>
        <v>Ass. Médica (Ambulatorial)</v>
      </c>
      <c r="D77" s="72"/>
      <c r="E77" s="73">
        <v>1</v>
      </c>
      <c r="F77" s="72" t="s">
        <v>9</v>
      </c>
      <c r="G77" s="79">
        <f>G59</f>
        <v>60</v>
      </c>
      <c r="H77" s="72" t="s">
        <v>10</v>
      </c>
      <c r="I77" s="75">
        <f t="shared" si="5"/>
        <v>60</v>
      </c>
      <c r="J77" s="39"/>
      <c r="K77" s="34"/>
      <c r="M77" s="34"/>
      <c r="O77" s="34"/>
    </row>
    <row r="78" spans="1:15" s="35" customFormat="1" ht="15" customHeight="1">
      <c r="A78" s="34"/>
      <c r="B78" s="38"/>
      <c r="C78" s="71" t="s">
        <v>54</v>
      </c>
      <c r="D78" s="72"/>
      <c r="E78" s="73">
        <v>1</v>
      </c>
      <c r="F78" s="72" t="s">
        <v>59</v>
      </c>
      <c r="G78" s="79">
        <f>G60</f>
        <v>14</v>
      </c>
      <c r="H78" s="72" t="s">
        <v>10</v>
      </c>
      <c r="I78" s="75">
        <f t="shared" si="5"/>
        <v>14</v>
      </c>
      <c r="J78" s="39"/>
      <c r="K78" s="34"/>
      <c r="M78" s="34"/>
      <c r="O78" s="34"/>
    </row>
    <row r="79" spans="1:15" s="35" customFormat="1" ht="15" customHeight="1">
      <c r="A79" s="34"/>
      <c r="B79" s="38"/>
      <c r="C79" s="84" t="s">
        <v>441</v>
      </c>
      <c r="D79" s="72"/>
      <c r="E79" s="90">
        <f>E61</f>
        <v>44</v>
      </c>
      <c r="F79" s="72" t="s">
        <v>9</v>
      </c>
      <c r="G79" s="79">
        <f>G61</f>
        <v>3.8</v>
      </c>
      <c r="H79" s="72" t="s">
        <v>10</v>
      </c>
      <c r="I79" s="75">
        <f>IF(G66*6%&lt;E79*G79,ROUND(E79*G79,2)-6%*G66,0)</f>
        <v>92.04</v>
      </c>
      <c r="J79" s="91"/>
      <c r="K79" s="34"/>
      <c r="M79" s="34"/>
      <c r="O79" s="34"/>
    </row>
    <row r="80" spans="1:15" s="35" customFormat="1" ht="15" customHeight="1">
      <c r="A80" s="34"/>
      <c r="B80" s="38"/>
      <c r="C80" s="71" t="s">
        <v>13</v>
      </c>
      <c r="D80" s="72"/>
      <c r="E80" s="181">
        <f>E62</f>
        <v>1</v>
      </c>
      <c r="F80" s="72" t="s">
        <v>9</v>
      </c>
      <c r="G80" s="79">
        <f>J27</f>
        <v>107.92</v>
      </c>
      <c r="H80" s="72" t="s">
        <v>10</v>
      </c>
      <c r="I80" s="75">
        <f>ROUND(E80*G80,2)</f>
        <v>107.92</v>
      </c>
      <c r="J80" s="39"/>
      <c r="K80" s="34"/>
      <c r="M80" s="34"/>
      <c r="O80" s="34"/>
    </row>
    <row r="81" spans="1:15" s="35" customFormat="1" ht="15" customHeight="1">
      <c r="A81" s="34"/>
      <c r="B81" s="38"/>
      <c r="C81" s="80" t="s">
        <v>41</v>
      </c>
      <c r="D81" s="93"/>
      <c r="E81" s="94"/>
      <c r="F81" s="93"/>
      <c r="G81" s="94"/>
      <c r="H81" s="93"/>
      <c r="I81" s="95">
        <f>SUM(I72:I80)</f>
        <v>3084.91</v>
      </c>
      <c r="J81" s="64"/>
      <c r="K81" s="34"/>
      <c r="M81" s="34"/>
      <c r="O81" s="34"/>
    </row>
    <row r="82" spans="1:15" s="35" customFormat="1" ht="15" customHeight="1">
      <c r="A82" s="34"/>
      <c r="B82" s="38"/>
      <c r="C82" s="34"/>
      <c r="E82" s="34"/>
      <c r="G82" s="34"/>
      <c r="I82" s="96"/>
      <c r="K82" s="34"/>
      <c r="M82" s="34"/>
      <c r="O82" s="34"/>
    </row>
    <row r="83" spans="1:15" s="35" customFormat="1" ht="12.75" customHeight="1">
      <c r="A83" s="34"/>
      <c r="B83" s="38"/>
      <c r="C83" s="99"/>
      <c r="D83" s="64"/>
      <c r="E83" s="99"/>
      <c r="F83" s="64"/>
      <c r="G83" s="99"/>
      <c r="H83" s="64"/>
      <c r="I83" s="100"/>
      <c r="J83" s="64"/>
      <c r="K83" s="34"/>
      <c r="M83" s="34"/>
      <c r="O83" s="34"/>
    </row>
    <row r="84" spans="1:15" s="35" customFormat="1" ht="15" customHeight="1">
      <c r="A84" s="34"/>
      <c r="B84" s="38"/>
      <c r="C84" s="427" t="s">
        <v>61</v>
      </c>
      <c r="D84" s="428"/>
      <c r="E84" s="428"/>
      <c r="F84" s="428"/>
      <c r="G84" s="428"/>
      <c r="H84" s="428"/>
      <c r="I84" s="429"/>
      <c r="J84" s="64"/>
      <c r="K84" s="34"/>
      <c r="M84" s="34"/>
      <c r="O84" s="34"/>
    </row>
    <row r="85" spans="1:15" s="35" customFormat="1" ht="15" customHeight="1">
      <c r="A85" s="34"/>
      <c r="B85" s="38"/>
      <c r="C85" s="414" t="s">
        <v>120</v>
      </c>
      <c r="D85" s="415"/>
      <c r="E85" s="416" t="s">
        <v>121</v>
      </c>
      <c r="F85" s="417"/>
      <c r="G85" s="416" t="s">
        <v>138</v>
      </c>
      <c r="H85" s="417"/>
      <c r="I85" s="103" t="s">
        <v>135</v>
      </c>
      <c r="J85" s="104"/>
      <c r="K85" s="34"/>
      <c r="M85" s="34"/>
      <c r="O85" s="34"/>
    </row>
    <row r="86" spans="1:15" s="35" customFormat="1" ht="12.75">
      <c r="A86" s="34"/>
      <c r="B86" s="38"/>
      <c r="C86" s="397" t="s">
        <v>224</v>
      </c>
      <c r="D86" s="399"/>
      <c r="E86" s="395">
        <v>1</v>
      </c>
      <c r="F86" s="396"/>
      <c r="G86" s="509">
        <f>I63</f>
        <v>4047.59</v>
      </c>
      <c r="H86" s="509"/>
      <c r="I86" s="107">
        <f>ROUND(E86*G86,2)</f>
        <v>4047.59</v>
      </c>
      <c r="J86" s="64"/>
      <c r="K86" s="34"/>
      <c r="M86" s="34"/>
      <c r="O86" s="34"/>
    </row>
    <row r="87" spans="1:15" s="35" customFormat="1" ht="13.5" customHeight="1">
      <c r="A87" s="34"/>
      <c r="B87" s="38"/>
      <c r="C87" s="397" t="s">
        <v>304</v>
      </c>
      <c r="D87" s="399"/>
      <c r="E87" s="395">
        <v>1</v>
      </c>
      <c r="F87" s="396"/>
      <c r="G87" s="493">
        <f>I63</f>
        <v>4047.59</v>
      </c>
      <c r="H87" s="494"/>
      <c r="I87" s="107">
        <f>ROUND(E87*G87,2)</f>
        <v>4047.59</v>
      </c>
      <c r="J87" s="64"/>
      <c r="K87" s="34"/>
      <c r="M87" s="34"/>
      <c r="O87" s="34"/>
    </row>
    <row r="88" spans="1:15" s="35" customFormat="1" ht="15" customHeight="1">
      <c r="A88" s="34"/>
      <c r="B88" s="38"/>
      <c r="C88" s="71" t="str">
        <f>C65</f>
        <v>Ajudante (custo p/ 1 colaborador)</v>
      </c>
      <c r="D88" s="72"/>
      <c r="E88" s="395">
        <f>H9</f>
        <v>4</v>
      </c>
      <c r="F88" s="396"/>
      <c r="G88" s="495">
        <f>I81</f>
        <v>3084.91</v>
      </c>
      <c r="H88" s="496"/>
      <c r="I88" s="107">
        <f>ROUND(E88*G88,2)</f>
        <v>12339.64</v>
      </c>
      <c r="J88" s="64"/>
      <c r="K88" s="34"/>
      <c r="M88" s="34"/>
      <c r="O88" s="34"/>
    </row>
    <row r="89" spans="1:15" s="35" customFormat="1" ht="16.5" customHeight="1">
      <c r="A89" s="34"/>
      <c r="B89" s="109"/>
      <c r="C89" s="101" t="s">
        <v>140</v>
      </c>
      <c r="D89" s="102"/>
      <c r="E89" s="110"/>
      <c r="F89" s="102"/>
      <c r="G89" s="110"/>
      <c r="H89" s="412">
        <f>SUM(I86:I88)</f>
        <v>20434.82</v>
      </c>
      <c r="I89" s="413"/>
      <c r="J89" s="111"/>
      <c r="K89" s="70"/>
      <c r="M89" s="34"/>
      <c r="O89" s="34"/>
    </row>
    <row r="90" spans="1:15" s="35" customFormat="1" ht="15.75" customHeight="1">
      <c r="A90" s="34"/>
      <c r="B90" s="109"/>
      <c r="C90" s="111"/>
      <c r="D90" s="112"/>
      <c r="E90" s="111"/>
      <c r="F90" s="112"/>
      <c r="G90" s="111"/>
      <c r="H90" s="112"/>
      <c r="I90" s="113"/>
      <c r="J90" s="111"/>
      <c r="K90" s="70"/>
      <c r="M90" s="34"/>
      <c r="O90" s="34"/>
    </row>
    <row r="91" spans="1:15" s="35" customFormat="1" ht="15" customHeight="1">
      <c r="A91" s="34"/>
      <c r="B91" s="114"/>
      <c r="C91" s="111"/>
      <c r="D91" s="112"/>
      <c r="E91" s="111"/>
      <c r="F91" s="112"/>
      <c r="G91" s="111"/>
      <c r="H91" s="112"/>
      <c r="I91" s="113"/>
      <c r="J91" s="111"/>
      <c r="K91" s="70"/>
      <c r="M91" s="34"/>
      <c r="O91" s="34"/>
    </row>
    <row r="92" spans="1:15" s="35" customFormat="1" ht="26.25" customHeight="1">
      <c r="A92" s="34"/>
      <c r="B92" s="38"/>
      <c r="C92" s="522" t="s">
        <v>277</v>
      </c>
      <c r="D92" s="522"/>
      <c r="E92" s="522"/>
      <c r="F92" s="522"/>
      <c r="G92" s="522"/>
      <c r="H92" s="522"/>
      <c r="I92" s="522"/>
      <c r="J92" s="522"/>
      <c r="K92" s="34"/>
      <c r="M92" s="34"/>
      <c r="O92" s="34"/>
    </row>
    <row r="93" spans="1:15" s="35" customFormat="1" ht="15" customHeight="1">
      <c r="A93" s="34"/>
      <c r="B93" s="38"/>
      <c r="C93" s="117"/>
      <c r="D93" s="39"/>
      <c r="E93" s="91"/>
      <c r="F93" s="39"/>
      <c r="G93" s="91"/>
      <c r="H93" s="39"/>
      <c r="I93" s="116"/>
      <c r="J93" s="64"/>
      <c r="K93" s="34"/>
      <c r="M93" s="34"/>
      <c r="O93" s="34"/>
    </row>
    <row r="94" spans="1:15" s="35" customFormat="1" ht="24" customHeight="1">
      <c r="A94" s="34"/>
      <c r="B94" s="38"/>
      <c r="C94" s="416" t="s">
        <v>120</v>
      </c>
      <c r="D94" s="516"/>
      <c r="E94" s="516"/>
      <c r="F94" s="417"/>
      <c r="G94" s="182" t="s">
        <v>0</v>
      </c>
      <c r="H94" s="47" t="s">
        <v>210</v>
      </c>
      <c r="I94" s="110" t="s">
        <v>138</v>
      </c>
      <c r="J94" s="103" t="s">
        <v>135</v>
      </c>
      <c r="K94" s="120"/>
      <c r="M94" s="34"/>
      <c r="O94" s="34"/>
    </row>
    <row r="95" spans="1:15" s="35" customFormat="1" ht="33" customHeight="1">
      <c r="A95" s="34"/>
      <c r="B95" s="38"/>
      <c r="C95" s="397" t="s">
        <v>302</v>
      </c>
      <c r="D95" s="398"/>
      <c r="E95" s="398"/>
      <c r="F95" s="399"/>
      <c r="G95" s="183">
        <v>1</v>
      </c>
      <c r="H95" s="51" t="s">
        <v>432</v>
      </c>
      <c r="I95" s="91">
        <v>22000</v>
      </c>
      <c r="J95" s="107">
        <f>I95*G95</f>
        <v>22000</v>
      </c>
      <c r="K95" s="123"/>
      <c r="M95" s="34"/>
      <c r="O95" s="34"/>
    </row>
    <row r="96" spans="1:15" s="35" customFormat="1" ht="15" customHeight="1">
      <c r="A96" s="34"/>
      <c r="B96" s="38"/>
      <c r="C96" s="520" t="s">
        <v>324</v>
      </c>
      <c r="D96" s="520"/>
      <c r="E96" s="520"/>
      <c r="F96" s="520"/>
      <c r="G96" s="520"/>
      <c r="H96" s="520"/>
      <c r="I96" s="520"/>
      <c r="J96" s="184">
        <f>SUM(J95)</f>
        <v>22000</v>
      </c>
      <c r="K96" s="113"/>
      <c r="M96" s="34"/>
      <c r="O96" s="34"/>
    </row>
    <row r="97" spans="1:15" s="35" customFormat="1" ht="15" customHeight="1">
      <c r="A97" s="34"/>
      <c r="B97" s="38"/>
      <c r="C97" s="117"/>
      <c r="D97" s="39"/>
      <c r="E97" s="91"/>
      <c r="F97" s="39"/>
      <c r="G97" s="91"/>
      <c r="H97" s="39"/>
      <c r="I97" s="116"/>
      <c r="J97" s="64"/>
      <c r="K97" s="91"/>
      <c r="M97" s="34"/>
      <c r="O97" s="34"/>
    </row>
    <row r="98" spans="2:13" s="35" customFormat="1" ht="15" customHeight="1">
      <c r="B98" s="38"/>
      <c r="C98" s="126" t="s">
        <v>271</v>
      </c>
      <c r="D98" s="127"/>
      <c r="E98" s="127"/>
      <c r="F98" s="127"/>
      <c r="G98" s="127"/>
      <c r="H98" s="127"/>
      <c r="I98" s="127"/>
      <c r="J98" s="128"/>
      <c r="K98" s="129"/>
      <c r="M98" s="34"/>
    </row>
    <row r="99" spans="2:13" s="35" customFormat="1" ht="15" customHeight="1">
      <c r="B99" s="38"/>
      <c r="C99" s="105" t="s">
        <v>97</v>
      </c>
      <c r="D99" s="39"/>
      <c r="E99" s="91"/>
      <c r="F99" s="39"/>
      <c r="G99" s="91"/>
      <c r="H99" s="39"/>
      <c r="I99" s="130">
        <v>200</v>
      </c>
      <c r="J99" s="131"/>
      <c r="K99" s="34"/>
      <c r="M99" s="34"/>
    </row>
    <row r="100" spans="2:13" s="35" customFormat="1" ht="15" customHeight="1">
      <c r="B100" s="38"/>
      <c r="C100" s="71" t="s">
        <v>78</v>
      </c>
      <c r="D100" s="72"/>
      <c r="E100" s="108"/>
      <c r="F100" s="72"/>
      <c r="G100" s="108"/>
      <c r="H100" s="72"/>
      <c r="I100" s="132">
        <v>60</v>
      </c>
      <c r="J100" s="53"/>
      <c r="K100" s="34"/>
      <c r="M100" s="34"/>
    </row>
    <row r="101" spans="2:13" s="35" customFormat="1" ht="15" customHeight="1">
      <c r="B101" s="38"/>
      <c r="C101" s="105" t="s">
        <v>49</v>
      </c>
      <c r="D101" s="39"/>
      <c r="E101" s="91"/>
      <c r="F101" s="39"/>
      <c r="G101" s="91"/>
      <c r="H101" s="39"/>
      <c r="I101" s="133">
        <v>90</v>
      </c>
      <c r="J101" s="134"/>
      <c r="K101" s="34"/>
      <c r="M101" s="34"/>
    </row>
    <row r="102" spans="2:13" s="35" customFormat="1" ht="15" customHeight="1">
      <c r="B102" s="38"/>
      <c r="C102" s="71" t="s">
        <v>48</v>
      </c>
      <c r="D102" s="72"/>
      <c r="E102" s="108"/>
      <c r="F102" s="72"/>
      <c r="G102" s="108"/>
      <c r="H102" s="72"/>
      <c r="I102" s="135">
        <v>1</v>
      </c>
      <c r="J102" s="53"/>
      <c r="K102" s="34"/>
      <c r="M102" s="34"/>
    </row>
    <row r="103" spans="2:13" s="35" customFormat="1" ht="15" customHeight="1">
      <c r="B103" s="38"/>
      <c r="C103" s="80" t="s">
        <v>43</v>
      </c>
      <c r="D103" s="93"/>
      <c r="E103" s="94"/>
      <c r="F103" s="93"/>
      <c r="G103" s="94"/>
      <c r="H103" s="93"/>
      <c r="I103" s="136">
        <f>(I99+I101)*I102</f>
        <v>290</v>
      </c>
      <c r="J103" s="53"/>
      <c r="K103" s="34"/>
      <c r="M103" s="34"/>
    </row>
    <row r="104" spans="2:13" s="35" customFormat="1" ht="15" customHeight="1">
      <c r="B104" s="38"/>
      <c r="C104" s="99"/>
      <c r="D104" s="64"/>
      <c r="E104" s="99"/>
      <c r="F104" s="64"/>
      <c r="G104" s="99"/>
      <c r="H104" s="64"/>
      <c r="I104" s="137"/>
      <c r="J104" s="39"/>
      <c r="K104" s="34"/>
      <c r="M104" s="34"/>
    </row>
    <row r="105" spans="2:13" s="35" customFormat="1" ht="15" customHeight="1">
      <c r="B105" s="38"/>
      <c r="C105" s="465" t="s">
        <v>272</v>
      </c>
      <c r="D105" s="466"/>
      <c r="E105" s="466"/>
      <c r="F105" s="466"/>
      <c r="G105" s="466"/>
      <c r="H105" s="467"/>
      <c r="I105" s="137"/>
      <c r="J105" s="99"/>
      <c r="K105" s="34"/>
      <c r="M105" s="34"/>
    </row>
    <row r="106" spans="2:13" s="35" customFormat="1" ht="15" customHeight="1">
      <c r="B106" s="38"/>
      <c r="C106" s="71" t="s">
        <v>81</v>
      </c>
      <c r="D106" s="72"/>
      <c r="E106" s="108"/>
      <c r="F106" s="72"/>
      <c r="G106" s="138">
        <v>200</v>
      </c>
      <c r="H106" s="53"/>
      <c r="I106" s="139"/>
      <c r="J106" s="91"/>
      <c r="K106" s="34"/>
      <c r="M106" s="34"/>
    </row>
    <row r="107" spans="2:13" s="35" customFormat="1" ht="15" customHeight="1">
      <c r="B107" s="38"/>
      <c r="C107" s="71" t="s">
        <v>82</v>
      </c>
      <c r="D107" s="72"/>
      <c r="E107" s="108"/>
      <c r="F107" s="53"/>
      <c r="G107" s="140">
        <v>1</v>
      </c>
      <c r="H107" s="53"/>
      <c r="I107" s="139"/>
      <c r="J107" s="91"/>
      <c r="K107" s="34"/>
      <c r="M107" s="34"/>
    </row>
    <row r="108" spans="2:13" s="35" customFormat="1" ht="15" customHeight="1">
      <c r="B108" s="38"/>
      <c r="C108" s="141" t="s">
        <v>83</v>
      </c>
      <c r="D108" s="142"/>
      <c r="E108" s="143"/>
      <c r="G108" s="140">
        <v>12</v>
      </c>
      <c r="H108" s="53"/>
      <c r="I108" s="139"/>
      <c r="J108" s="91"/>
      <c r="K108" s="34"/>
      <c r="M108" s="34"/>
    </row>
    <row r="109" spans="2:13" s="35" customFormat="1" ht="15" customHeight="1">
      <c r="B109" s="38"/>
      <c r="C109" s="80" t="s">
        <v>84</v>
      </c>
      <c r="D109" s="93"/>
      <c r="E109" s="94"/>
      <c r="F109" s="93"/>
      <c r="G109" s="136">
        <f>(G106*G107)/G108</f>
        <v>16.67</v>
      </c>
      <c r="H109" s="144"/>
      <c r="J109" s="64"/>
      <c r="K109" s="34"/>
      <c r="M109" s="34"/>
    </row>
    <row r="110" spans="2:13" s="35" customFormat="1" ht="16.5" customHeight="1">
      <c r="B110" s="38"/>
      <c r="C110" s="99"/>
      <c r="D110" s="64"/>
      <c r="E110" s="99"/>
      <c r="F110" s="64"/>
      <c r="G110" s="99"/>
      <c r="H110" s="64"/>
      <c r="I110" s="137"/>
      <c r="J110" s="64"/>
      <c r="K110" s="34"/>
      <c r="M110" s="34"/>
    </row>
    <row r="111" spans="1:15" s="35" customFormat="1" ht="15" customHeight="1">
      <c r="A111" s="34"/>
      <c r="B111" s="38"/>
      <c r="C111" s="91"/>
      <c r="D111" s="39"/>
      <c r="E111" s="91"/>
      <c r="F111" s="39"/>
      <c r="G111" s="91"/>
      <c r="H111" s="39"/>
      <c r="I111" s="116"/>
      <c r="J111" s="64"/>
      <c r="K111" s="34"/>
      <c r="M111" s="34"/>
      <c r="O111" s="34"/>
    </row>
    <row r="112" spans="2:13" s="35" customFormat="1" ht="15" customHeight="1">
      <c r="B112" s="38"/>
      <c r="C112" s="462" t="s">
        <v>273</v>
      </c>
      <c r="D112" s="463"/>
      <c r="E112" s="463"/>
      <c r="F112" s="463"/>
      <c r="G112" s="463"/>
      <c r="H112" s="463"/>
      <c r="I112" s="464"/>
      <c r="J112" s="39"/>
      <c r="K112" s="34"/>
      <c r="M112" s="34"/>
    </row>
    <row r="113" spans="2:13" s="35" customFormat="1" ht="15" customHeight="1">
      <c r="B113" s="38"/>
      <c r="C113" s="71" t="s">
        <v>118</v>
      </c>
      <c r="D113" s="72"/>
      <c r="E113" s="108"/>
      <c r="F113" s="72"/>
      <c r="G113" s="108"/>
      <c r="H113" s="72"/>
      <c r="I113" s="145">
        <f>J96</f>
        <v>22000</v>
      </c>
      <c r="J113" s="39"/>
      <c r="K113" s="34"/>
      <c r="M113" s="34"/>
    </row>
    <row r="114" spans="2:13" s="35" customFormat="1" ht="15" customHeight="1">
      <c r="B114" s="38"/>
      <c r="C114" s="71" t="s">
        <v>85</v>
      </c>
      <c r="D114" s="72"/>
      <c r="E114" s="108"/>
      <c r="F114" s="72"/>
      <c r="G114" s="108"/>
      <c r="H114" s="72"/>
      <c r="I114" s="145">
        <f>I103</f>
        <v>290</v>
      </c>
      <c r="J114" s="39"/>
      <c r="K114" s="34"/>
      <c r="M114" s="34"/>
    </row>
    <row r="115" spans="2:13" s="35" customFormat="1" ht="15" customHeight="1">
      <c r="B115" s="38"/>
      <c r="C115" s="71" t="s">
        <v>86</v>
      </c>
      <c r="D115" s="72"/>
      <c r="E115" s="108"/>
      <c r="F115" s="72"/>
      <c r="G115" s="108"/>
      <c r="H115" s="72"/>
      <c r="I115" s="145">
        <f>G109</f>
        <v>16.67</v>
      </c>
      <c r="J115" s="39"/>
      <c r="K115" s="34"/>
      <c r="M115" s="34"/>
    </row>
    <row r="116" spans="2:13" s="35" customFormat="1" ht="15" customHeight="1">
      <c r="B116" s="109"/>
      <c r="C116" s="101" t="s">
        <v>322</v>
      </c>
      <c r="D116" s="102"/>
      <c r="E116" s="110"/>
      <c r="F116" s="102"/>
      <c r="G116" s="110"/>
      <c r="H116" s="102"/>
      <c r="I116" s="95">
        <f>SUM(I113:I115)</f>
        <v>22306.67</v>
      </c>
      <c r="J116" s="113"/>
      <c r="K116" s="111"/>
      <c r="L116" s="69"/>
      <c r="M116" s="70"/>
    </row>
    <row r="117" spans="1:15" s="35" customFormat="1" ht="15" customHeight="1">
      <c r="A117" s="34"/>
      <c r="B117" s="38"/>
      <c r="C117" s="91"/>
      <c r="D117" s="39"/>
      <c r="E117" s="91"/>
      <c r="F117" s="39"/>
      <c r="G117" s="91"/>
      <c r="H117" s="39"/>
      <c r="I117" s="116"/>
      <c r="J117" s="64"/>
      <c r="K117" s="34"/>
      <c r="M117" s="34"/>
      <c r="O117" s="34"/>
    </row>
    <row r="118" spans="1:15" s="35" customFormat="1" ht="15" customHeight="1" hidden="1">
      <c r="A118" s="34"/>
      <c r="B118" s="38"/>
      <c r="C118" s="91"/>
      <c r="D118" s="39"/>
      <c r="E118" s="91"/>
      <c r="F118" s="39"/>
      <c r="G118" s="91"/>
      <c r="H118" s="39"/>
      <c r="I118" s="116"/>
      <c r="J118" s="64"/>
      <c r="K118" s="34"/>
      <c r="M118" s="34"/>
      <c r="O118" s="34"/>
    </row>
    <row r="119" spans="1:15" s="35" customFormat="1" ht="15" customHeight="1">
      <c r="A119" s="34"/>
      <c r="B119" s="38"/>
      <c r="C119" s="115" t="s">
        <v>269</v>
      </c>
      <c r="D119" s="39"/>
      <c r="E119" s="91"/>
      <c r="F119" s="39"/>
      <c r="G119" s="91"/>
      <c r="H119" s="39"/>
      <c r="I119" s="116"/>
      <c r="J119" s="64"/>
      <c r="K119" s="34"/>
      <c r="M119" s="34"/>
      <c r="O119" s="34"/>
    </row>
    <row r="120" spans="1:15" s="35" customFormat="1" ht="15" customHeight="1">
      <c r="A120" s="34"/>
      <c r="B120" s="38"/>
      <c r="C120" s="117"/>
      <c r="D120" s="39"/>
      <c r="E120" s="91"/>
      <c r="F120" s="39"/>
      <c r="G120" s="91"/>
      <c r="H120" s="39"/>
      <c r="I120" s="116"/>
      <c r="J120" s="64"/>
      <c r="K120" s="34"/>
      <c r="M120" s="34"/>
      <c r="O120" s="34"/>
    </row>
    <row r="121" spans="1:15" s="35" customFormat="1" ht="24" customHeight="1">
      <c r="A121" s="34"/>
      <c r="B121" s="38"/>
      <c r="C121" s="416" t="s">
        <v>120</v>
      </c>
      <c r="D121" s="516"/>
      <c r="E121" s="516"/>
      <c r="F121" s="516"/>
      <c r="G121" s="417"/>
      <c r="H121" s="118" t="s">
        <v>0</v>
      </c>
      <c r="I121" s="119" t="s">
        <v>147</v>
      </c>
      <c r="J121" s="119" t="s">
        <v>148</v>
      </c>
      <c r="K121" s="120"/>
      <c r="M121" s="34"/>
      <c r="O121" s="34"/>
    </row>
    <row r="122" spans="1:15" s="35" customFormat="1" ht="48" customHeight="1">
      <c r="A122" s="34"/>
      <c r="B122" s="38"/>
      <c r="C122" s="523" t="s">
        <v>270</v>
      </c>
      <c r="D122" s="524"/>
      <c r="E122" s="524"/>
      <c r="F122" s="524"/>
      <c r="G122" s="525"/>
      <c r="H122" s="121">
        <v>1</v>
      </c>
      <c r="I122" s="185">
        <f>'1. Forn. de Mudas e Plantio'!G76</f>
        <v>10000</v>
      </c>
      <c r="J122" s="185">
        <f>H122*I122</f>
        <v>10000</v>
      </c>
      <c r="K122" s="123"/>
      <c r="M122" s="34"/>
      <c r="O122" s="34"/>
    </row>
    <row r="123" spans="1:15" s="35" customFormat="1" ht="15" customHeight="1">
      <c r="A123" s="34"/>
      <c r="B123" s="38"/>
      <c r="C123" s="520" t="s">
        <v>323</v>
      </c>
      <c r="D123" s="520"/>
      <c r="E123" s="520"/>
      <c r="F123" s="520"/>
      <c r="G123" s="520"/>
      <c r="H123" s="520"/>
      <c r="I123" s="520"/>
      <c r="J123" s="184">
        <f>SUM(J122)</f>
        <v>10000</v>
      </c>
      <c r="K123" s="113"/>
      <c r="M123" s="34"/>
      <c r="O123" s="34"/>
    </row>
    <row r="124" spans="1:15" s="35" customFormat="1" ht="15" customHeight="1">
      <c r="A124" s="34"/>
      <c r="B124" s="38"/>
      <c r="C124" s="117"/>
      <c r="D124" s="39"/>
      <c r="E124" s="91"/>
      <c r="F124" s="39"/>
      <c r="G124" s="91"/>
      <c r="H124" s="39"/>
      <c r="I124" s="116"/>
      <c r="J124" s="64"/>
      <c r="K124" s="91"/>
      <c r="M124" s="34"/>
      <c r="O124" s="34"/>
    </row>
    <row r="125" spans="2:13" s="35" customFormat="1" ht="15" customHeight="1">
      <c r="B125" s="38"/>
      <c r="C125" s="126" t="s">
        <v>274</v>
      </c>
      <c r="D125" s="127"/>
      <c r="E125" s="127"/>
      <c r="F125" s="127"/>
      <c r="G125" s="127"/>
      <c r="H125" s="127"/>
      <c r="I125" s="127"/>
      <c r="J125" s="186"/>
      <c r="K125" s="129"/>
      <c r="M125" s="34"/>
    </row>
    <row r="126" spans="2:13" s="35" customFormat="1" ht="15" customHeight="1">
      <c r="B126" s="38"/>
      <c r="C126" s="105" t="s">
        <v>97</v>
      </c>
      <c r="D126" s="39"/>
      <c r="E126" s="91"/>
      <c r="F126" s="39"/>
      <c r="G126" s="91"/>
      <c r="H126" s="39"/>
      <c r="I126" s="130">
        <v>200</v>
      </c>
      <c r="J126" s="187"/>
      <c r="K126" s="34"/>
      <c r="M126" s="34"/>
    </row>
    <row r="127" spans="2:13" s="35" customFormat="1" ht="15" customHeight="1">
      <c r="B127" s="38"/>
      <c r="C127" s="71" t="s">
        <v>78</v>
      </c>
      <c r="D127" s="72"/>
      <c r="E127" s="108"/>
      <c r="F127" s="72"/>
      <c r="G127" s="108"/>
      <c r="H127" s="72"/>
      <c r="I127" s="132">
        <v>60</v>
      </c>
      <c r="J127" s="187"/>
      <c r="K127" s="34"/>
      <c r="M127" s="34"/>
    </row>
    <row r="128" spans="2:13" s="35" customFormat="1" ht="15" customHeight="1">
      <c r="B128" s="38"/>
      <c r="C128" s="105" t="s">
        <v>49</v>
      </c>
      <c r="D128" s="39"/>
      <c r="E128" s="91"/>
      <c r="F128" s="39"/>
      <c r="G128" s="91"/>
      <c r="H128" s="39"/>
      <c r="I128" s="133">
        <v>90</v>
      </c>
      <c r="J128" s="187"/>
      <c r="K128" s="34"/>
      <c r="M128" s="34"/>
    </row>
    <row r="129" spans="2:13" s="35" customFormat="1" ht="15" customHeight="1">
      <c r="B129" s="38"/>
      <c r="C129" s="71" t="s">
        <v>48</v>
      </c>
      <c r="D129" s="72"/>
      <c r="E129" s="108"/>
      <c r="F129" s="72"/>
      <c r="G129" s="108"/>
      <c r="H129" s="72"/>
      <c r="I129" s="135">
        <v>1</v>
      </c>
      <c r="J129" s="187"/>
      <c r="K129" s="34"/>
      <c r="M129" s="34"/>
    </row>
    <row r="130" spans="2:13" s="35" customFormat="1" ht="15" customHeight="1">
      <c r="B130" s="38"/>
      <c r="C130" s="80" t="s">
        <v>43</v>
      </c>
      <c r="D130" s="93"/>
      <c r="E130" s="94"/>
      <c r="F130" s="93"/>
      <c r="G130" s="94"/>
      <c r="H130" s="93"/>
      <c r="I130" s="136">
        <f>(I126+I128)*I129</f>
        <v>290</v>
      </c>
      <c r="J130" s="187"/>
      <c r="K130" s="34"/>
      <c r="M130" s="34"/>
    </row>
    <row r="131" spans="2:13" s="35" customFormat="1" ht="15" customHeight="1">
      <c r="B131" s="38"/>
      <c r="C131" s="99"/>
      <c r="D131" s="64"/>
      <c r="E131" s="99"/>
      <c r="F131" s="64"/>
      <c r="G131" s="99"/>
      <c r="H131" s="64"/>
      <c r="I131" s="137"/>
      <c r="J131" s="39"/>
      <c r="K131" s="34"/>
      <c r="M131" s="34"/>
    </row>
    <row r="132" spans="2:13" s="35" customFormat="1" ht="15" customHeight="1">
      <c r="B132" s="38"/>
      <c r="C132" s="465" t="s">
        <v>275</v>
      </c>
      <c r="D132" s="466"/>
      <c r="E132" s="466"/>
      <c r="F132" s="466"/>
      <c r="G132" s="466"/>
      <c r="H132" s="467"/>
      <c r="I132" s="137"/>
      <c r="J132" s="99"/>
      <c r="K132" s="34"/>
      <c r="M132" s="34"/>
    </row>
    <row r="133" spans="2:13" s="35" customFormat="1" ht="15" customHeight="1">
      <c r="B133" s="38"/>
      <c r="C133" s="71" t="s">
        <v>81</v>
      </c>
      <c r="D133" s="72"/>
      <c r="E133" s="108"/>
      <c r="F133" s="72"/>
      <c r="G133" s="138">
        <v>200</v>
      </c>
      <c r="H133" s="53"/>
      <c r="I133" s="139"/>
      <c r="J133" s="91"/>
      <c r="K133" s="34"/>
      <c r="M133" s="34"/>
    </row>
    <row r="134" spans="2:13" s="35" customFormat="1" ht="15" customHeight="1">
      <c r="B134" s="38"/>
      <c r="C134" s="71" t="s">
        <v>82</v>
      </c>
      <c r="D134" s="72"/>
      <c r="E134" s="108"/>
      <c r="F134" s="53"/>
      <c r="G134" s="140">
        <v>1</v>
      </c>
      <c r="H134" s="53"/>
      <c r="I134" s="139"/>
      <c r="J134" s="91"/>
      <c r="K134" s="34"/>
      <c r="M134" s="34"/>
    </row>
    <row r="135" spans="2:13" s="35" customFormat="1" ht="15" customHeight="1">
      <c r="B135" s="38"/>
      <c r="C135" s="141" t="s">
        <v>83</v>
      </c>
      <c r="D135" s="142"/>
      <c r="E135" s="143"/>
      <c r="G135" s="140">
        <v>12</v>
      </c>
      <c r="H135" s="53"/>
      <c r="I135" s="139"/>
      <c r="J135" s="91"/>
      <c r="K135" s="34"/>
      <c r="M135" s="34"/>
    </row>
    <row r="136" spans="2:13" s="35" customFormat="1" ht="15" customHeight="1">
      <c r="B136" s="38"/>
      <c r="C136" s="80" t="s">
        <v>84</v>
      </c>
      <c r="D136" s="93"/>
      <c r="E136" s="94"/>
      <c r="F136" s="93"/>
      <c r="G136" s="136">
        <f>(G133*G134)/G135</f>
        <v>16.67</v>
      </c>
      <c r="H136" s="144"/>
      <c r="J136" s="64"/>
      <c r="K136" s="34"/>
      <c r="M136" s="34"/>
    </row>
    <row r="137" spans="2:13" s="35" customFormat="1" ht="16.5" customHeight="1">
      <c r="B137" s="38"/>
      <c r="C137" s="99"/>
      <c r="D137" s="64"/>
      <c r="E137" s="99"/>
      <c r="F137" s="64"/>
      <c r="G137" s="99"/>
      <c r="H137" s="64"/>
      <c r="I137" s="137"/>
      <c r="J137" s="64"/>
      <c r="K137" s="34"/>
      <c r="M137" s="34"/>
    </row>
    <row r="138" spans="1:15" s="35" customFormat="1" ht="15" customHeight="1">
      <c r="A138" s="34"/>
      <c r="B138" s="38"/>
      <c r="C138" s="91"/>
      <c r="D138" s="39"/>
      <c r="E138" s="91"/>
      <c r="F138" s="39"/>
      <c r="G138" s="91"/>
      <c r="H138" s="39"/>
      <c r="I138" s="116"/>
      <c r="J138" s="64"/>
      <c r="K138" s="34"/>
      <c r="M138" s="34"/>
      <c r="O138" s="34"/>
    </row>
    <row r="139" spans="2:13" s="35" customFormat="1" ht="15" customHeight="1">
      <c r="B139" s="38"/>
      <c r="C139" s="462" t="s">
        <v>276</v>
      </c>
      <c r="D139" s="463"/>
      <c r="E139" s="463"/>
      <c r="F139" s="463"/>
      <c r="G139" s="463"/>
      <c r="H139" s="463"/>
      <c r="I139" s="464"/>
      <c r="J139" s="39"/>
      <c r="K139" s="34"/>
      <c r="M139" s="34"/>
    </row>
    <row r="140" spans="2:13" s="35" customFormat="1" ht="15" customHeight="1">
      <c r="B140" s="38"/>
      <c r="C140" s="71" t="s">
        <v>118</v>
      </c>
      <c r="D140" s="72"/>
      <c r="E140" s="108"/>
      <c r="F140" s="72"/>
      <c r="G140" s="108"/>
      <c r="H140" s="72"/>
      <c r="I140" s="145">
        <f>J123</f>
        <v>10000</v>
      </c>
      <c r="J140" s="39"/>
      <c r="K140" s="34"/>
      <c r="M140" s="34"/>
    </row>
    <row r="141" spans="2:13" s="35" customFormat="1" ht="15" customHeight="1">
      <c r="B141" s="38"/>
      <c r="C141" s="71" t="s">
        <v>85</v>
      </c>
      <c r="D141" s="72"/>
      <c r="E141" s="108"/>
      <c r="F141" s="72"/>
      <c r="G141" s="108"/>
      <c r="H141" s="72"/>
      <c r="I141" s="145">
        <f>I130</f>
        <v>290</v>
      </c>
      <c r="J141" s="39"/>
      <c r="K141" s="34"/>
      <c r="M141" s="34"/>
    </row>
    <row r="142" spans="2:13" s="35" customFormat="1" ht="15" customHeight="1">
      <c r="B142" s="38"/>
      <c r="C142" s="71" t="s">
        <v>86</v>
      </c>
      <c r="D142" s="72"/>
      <c r="E142" s="108"/>
      <c r="F142" s="72"/>
      <c r="G142" s="108"/>
      <c r="H142" s="72"/>
      <c r="I142" s="145">
        <f>G136</f>
        <v>16.67</v>
      </c>
      <c r="J142" s="39"/>
      <c r="K142" s="34"/>
      <c r="M142" s="34"/>
    </row>
    <row r="143" spans="2:13" s="35" customFormat="1" ht="15" customHeight="1">
      <c r="B143" s="109"/>
      <c r="C143" s="101" t="s">
        <v>321</v>
      </c>
      <c r="D143" s="102"/>
      <c r="E143" s="110"/>
      <c r="F143" s="102"/>
      <c r="G143" s="110"/>
      <c r="H143" s="102"/>
      <c r="I143" s="95">
        <f>SUM(I140:I142)</f>
        <v>10306.67</v>
      </c>
      <c r="J143" s="113"/>
      <c r="K143" s="111"/>
      <c r="L143" s="69"/>
      <c r="M143" s="70"/>
    </row>
    <row r="144" spans="2:13" s="35" customFormat="1" ht="15" customHeight="1">
      <c r="B144" s="109"/>
      <c r="C144" s="188"/>
      <c r="D144" s="189"/>
      <c r="E144" s="188"/>
      <c r="F144" s="189"/>
      <c r="G144" s="188"/>
      <c r="H144" s="189"/>
      <c r="I144" s="190"/>
      <c r="J144" s="113"/>
      <c r="K144" s="111"/>
      <c r="L144" s="69"/>
      <c r="M144" s="70"/>
    </row>
    <row r="145" spans="2:13" s="35" customFormat="1" ht="15" customHeight="1">
      <c r="B145" s="109"/>
      <c r="C145" s="111"/>
      <c r="D145" s="112"/>
      <c r="E145" s="111"/>
      <c r="F145" s="112"/>
      <c r="G145" s="111"/>
      <c r="H145" s="112"/>
      <c r="I145" s="137"/>
      <c r="J145" s="113"/>
      <c r="K145" s="111"/>
      <c r="L145" s="69"/>
      <c r="M145" s="70"/>
    </row>
    <row r="146" spans="2:13" s="35" customFormat="1" ht="15" customHeight="1">
      <c r="B146" s="109"/>
      <c r="C146" s="513" t="s">
        <v>301</v>
      </c>
      <c r="D146" s="514"/>
      <c r="E146" s="514"/>
      <c r="F146" s="514"/>
      <c r="G146" s="514"/>
      <c r="H146" s="514"/>
      <c r="I146" s="514"/>
      <c r="J146" s="515"/>
      <c r="K146" s="111"/>
      <c r="L146" s="69"/>
      <c r="M146" s="70"/>
    </row>
    <row r="147" spans="2:13" s="35" customFormat="1" ht="15" customHeight="1">
      <c r="B147" s="109"/>
      <c r="C147" s="416" t="s">
        <v>120</v>
      </c>
      <c r="D147" s="516"/>
      <c r="E147" s="516"/>
      <c r="F147" s="516"/>
      <c r="G147" s="516"/>
      <c r="H147" s="516"/>
      <c r="I147" s="417"/>
      <c r="J147" s="103" t="s">
        <v>135</v>
      </c>
      <c r="K147" s="111"/>
      <c r="L147" s="69"/>
      <c r="M147" s="70"/>
    </row>
    <row r="148" spans="2:13" s="35" customFormat="1" ht="23.25" customHeight="1">
      <c r="B148" s="109"/>
      <c r="C148" s="490" t="s">
        <v>302</v>
      </c>
      <c r="D148" s="491"/>
      <c r="E148" s="491"/>
      <c r="F148" s="491"/>
      <c r="G148" s="491"/>
      <c r="H148" s="491"/>
      <c r="I148" s="492"/>
      <c r="J148" s="107">
        <f>I116</f>
        <v>22306.67</v>
      </c>
      <c r="K148" s="111"/>
      <c r="L148" s="69"/>
      <c r="M148" s="70"/>
    </row>
    <row r="149" spans="2:13" s="35" customFormat="1" ht="23.25" customHeight="1">
      <c r="B149" s="109"/>
      <c r="C149" s="490" t="s">
        <v>303</v>
      </c>
      <c r="D149" s="491"/>
      <c r="E149" s="491"/>
      <c r="F149" s="491"/>
      <c r="G149" s="491"/>
      <c r="H149" s="491"/>
      <c r="I149" s="492"/>
      <c r="J149" s="107">
        <f>I143</f>
        <v>10306.67</v>
      </c>
      <c r="K149" s="111"/>
      <c r="L149" s="69"/>
      <c r="M149" s="70"/>
    </row>
    <row r="150" spans="1:15" s="39" customFormat="1" ht="15" customHeight="1">
      <c r="A150" s="91"/>
      <c r="B150" s="191"/>
      <c r="C150" s="520" t="s">
        <v>140</v>
      </c>
      <c r="D150" s="520"/>
      <c r="E150" s="520"/>
      <c r="F150" s="520"/>
      <c r="G150" s="520"/>
      <c r="H150" s="520"/>
      <c r="I150" s="520"/>
      <c r="J150" s="174">
        <f>SUM(J148:J149)</f>
        <v>32613.34</v>
      </c>
      <c r="K150" s="91"/>
      <c r="M150" s="91"/>
      <c r="O150" s="91"/>
    </row>
    <row r="151" spans="1:15" s="39" customFormat="1" ht="15" customHeight="1">
      <c r="A151" s="91"/>
      <c r="B151" s="191"/>
      <c r="C151" s="111"/>
      <c r="D151" s="112"/>
      <c r="E151" s="111"/>
      <c r="F151" s="112"/>
      <c r="G151" s="111"/>
      <c r="H151" s="192"/>
      <c r="I151" s="192"/>
      <c r="J151" s="64"/>
      <c r="K151" s="91"/>
      <c r="M151" s="91"/>
      <c r="O151" s="91"/>
    </row>
    <row r="152" spans="1:15" s="39" customFormat="1" ht="15" customHeight="1">
      <c r="A152" s="91"/>
      <c r="B152" s="191"/>
      <c r="C152" s="111"/>
      <c r="D152" s="112"/>
      <c r="E152" s="111"/>
      <c r="F152" s="112"/>
      <c r="G152" s="111"/>
      <c r="H152" s="192"/>
      <c r="I152" s="192"/>
      <c r="J152" s="64"/>
      <c r="K152" s="91"/>
      <c r="M152" s="91"/>
      <c r="O152" s="91"/>
    </row>
    <row r="153" spans="2:13" s="35" customFormat="1" ht="15" customHeight="1">
      <c r="B153" s="38"/>
      <c r="C153" s="115" t="s">
        <v>87</v>
      </c>
      <c r="D153" s="64"/>
      <c r="E153" s="99"/>
      <c r="F153" s="64"/>
      <c r="G153" s="99"/>
      <c r="H153" s="64"/>
      <c r="I153" s="137"/>
      <c r="J153" s="39"/>
      <c r="K153" s="34"/>
      <c r="M153" s="34"/>
    </row>
    <row r="154" spans="2:13" s="35" customFormat="1" ht="15" customHeight="1">
      <c r="B154" s="38"/>
      <c r="C154" s="115"/>
      <c r="D154" s="64"/>
      <c r="E154" s="99"/>
      <c r="F154" s="64"/>
      <c r="G154" s="99"/>
      <c r="H154" s="64"/>
      <c r="I154" s="137"/>
      <c r="J154" s="39"/>
      <c r="K154" s="34"/>
      <c r="M154" s="34"/>
    </row>
    <row r="155" spans="2:13" s="35" customFormat="1" ht="15" customHeight="1">
      <c r="B155" s="38"/>
      <c r="C155" s="421" t="s">
        <v>136</v>
      </c>
      <c r="D155" s="419"/>
      <c r="E155" s="419"/>
      <c r="F155" s="420"/>
      <c r="G155" s="146" t="s">
        <v>241</v>
      </c>
      <c r="H155" s="193" t="s">
        <v>137</v>
      </c>
      <c r="I155" s="147" t="s">
        <v>138</v>
      </c>
      <c r="J155" s="421" t="s">
        <v>135</v>
      </c>
      <c r="K155" s="420"/>
      <c r="M155" s="34"/>
    </row>
    <row r="156" spans="2:13" s="35" customFormat="1" ht="13.5" customHeight="1">
      <c r="B156" s="38"/>
      <c r="C156" s="497" t="s">
        <v>293</v>
      </c>
      <c r="D156" s="498"/>
      <c r="E156" s="498"/>
      <c r="F156" s="499"/>
      <c r="G156" s="194">
        <v>2</v>
      </c>
      <c r="H156" s="148">
        <v>12</v>
      </c>
      <c r="I156" s="185">
        <v>173.73</v>
      </c>
      <c r="J156" s="495">
        <f>G156*I156/H156</f>
        <v>28.96</v>
      </c>
      <c r="K156" s="496"/>
      <c r="M156" s="34"/>
    </row>
    <row r="157" spans="2:13" s="35" customFormat="1" ht="13.5" customHeight="1">
      <c r="B157" s="38"/>
      <c r="C157" s="497" t="s">
        <v>280</v>
      </c>
      <c r="D157" s="498"/>
      <c r="E157" s="498"/>
      <c r="F157" s="499"/>
      <c r="G157" s="194">
        <v>4</v>
      </c>
      <c r="H157" s="148">
        <v>12</v>
      </c>
      <c r="I157" s="185">
        <v>251.67</v>
      </c>
      <c r="J157" s="495">
        <f>G157*I157/H157</f>
        <v>83.89</v>
      </c>
      <c r="K157" s="496"/>
      <c r="M157" s="34"/>
    </row>
    <row r="158" spans="2:13" s="35" customFormat="1" ht="12.75">
      <c r="B158" s="38"/>
      <c r="C158" s="526" t="s">
        <v>281</v>
      </c>
      <c r="D158" s="527"/>
      <c r="E158" s="527"/>
      <c r="F158" s="528"/>
      <c r="G158" s="194">
        <v>2</v>
      </c>
      <c r="H158" s="148">
        <v>12</v>
      </c>
      <c r="I158" s="185">
        <v>1297.83</v>
      </c>
      <c r="J158" s="495">
        <f aca="true" t="shared" si="6" ref="J158:J178">G158*I158/H158</f>
        <v>216.31</v>
      </c>
      <c r="K158" s="496"/>
      <c r="M158" s="34"/>
    </row>
    <row r="159" spans="2:13" s="35" customFormat="1" ht="12.75">
      <c r="B159" s="38"/>
      <c r="C159" s="526" t="s">
        <v>282</v>
      </c>
      <c r="D159" s="527"/>
      <c r="E159" s="527"/>
      <c r="F159" s="528"/>
      <c r="G159" s="194">
        <v>2</v>
      </c>
      <c r="H159" s="148">
        <v>12</v>
      </c>
      <c r="I159" s="185">
        <v>613.78</v>
      </c>
      <c r="J159" s="495">
        <f t="shared" si="6"/>
        <v>102.3</v>
      </c>
      <c r="K159" s="496"/>
      <c r="M159" s="34"/>
    </row>
    <row r="160" spans="2:13" s="35" customFormat="1" ht="12.75">
      <c r="B160" s="38"/>
      <c r="C160" s="195" t="s">
        <v>283</v>
      </c>
      <c r="D160" s="196"/>
      <c r="E160" s="196"/>
      <c r="F160" s="197"/>
      <c r="G160" s="194">
        <v>6</v>
      </c>
      <c r="H160" s="148">
        <v>12</v>
      </c>
      <c r="I160" s="185">
        <v>49.65</v>
      </c>
      <c r="J160" s="495">
        <f t="shared" si="6"/>
        <v>24.83</v>
      </c>
      <c r="K160" s="496"/>
      <c r="M160" s="34"/>
    </row>
    <row r="161" spans="2:13" s="35" customFormat="1" ht="12.75">
      <c r="B161" s="38"/>
      <c r="C161" s="526" t="s">
        <v>284</v>
      </c>
      <c r="D161" s="527"/>
      <c r="E161" s="527"/>
      <c r="F161" s="528"/>
      <c r="G161" s="194">
        <v>6</v>
      </c>
      <c r="H161" s="148">
        <v>12</v>
      </c>
      <c r="I161" s="185">
        <v>54.27</v>
      </c>
      <c r="J161" s="495">
        <f t="shared" si="6"/>
        <v>27.14</v>
      </c>
      <c r="K161" s="496"/>
      <c r="M161" s="34"/>
    </row>
    <row r="162" spans="2:13" s="35" customFormat="1" ht="23.25" customHeight="1">
      <c r="B162" s="38"/>
      <c r="C162" s="497" t="s">
        <v>285</v>
      </c>
      <c r="D162" s="498"/>
      <c r="E162" s="498"/>
      <c r="F162" s="499"/>
      <c r="G162" s="194">
        <v>6</v>
      </c>
      <c r="H162" s="148">
        <v>12</v>
      </c>
      <c r="I162" s="185">
        <v>111.62</v>
      </c>
      <c r="J162" s="495">
        <f t="shared" si="6"/>
        <v>55.81</v>
      </c>
      <c r="K162" s="496"/>
      <c r="M162" s="34"/>
    </row>
    <row r="163" spans="2:13" s="35" customFormat="1" ht="12.75">
      <c r="B163" s="38"/>
      <c r="C163" s="529" t="s">
        <v>286</v>
      </c>
      <c r="D163" s="530"/>
      <c r="E163" s="530"/>
      <c r="F163" s="531"/>
      <c r="G163" s="194">
        <v>4</v>
      </c>
      <c r="H163" s="148">
        <v>12</v>
      </c>
      <c r="I163" s="185">
        <v>352.61</v>
      </c>
      <c r="J163" s="495">
        <f t="shared" si="6"/>
        <v>117.54</v>
      </c>
      <c r="K163" s="496"/>
      <c r="M163" s="34"/>
    </row>
    <row r="164" spans="2:13" s="35" customFormat="1" ht="13.5" customHeight="1">
      <c r="B164" s="38"/>
      <c r="C164" s="497" t="s">
        <v>287</v>
      </c>
      <c r="D164" s="498"/>
      <c r="E164" s="498"/>
      <c r="F164" s="499"/>
      <c r="G164" s="194">
        <v>6</v>
      </c>
      <c r="H164" s="148">
        <v>12</v>
      </c>
      <c r="I164" s="185">
        <v>123.77</v>
      </c>
      <c r="J164" s="495">
        <f t="shared" si="6"/>
        <v>61.89</v>
      </c>
      <c r="K164" s="496"/>
      <c r="M164" s="34"/>
    </row>
    <row r="165" spans="2:13" s="35" customFormat="1" ht="22.5" customHeight="1">
      <c r="B165" s="38"/>
      <c r="C165" s="497" t="s">
        <v>288</v>
      </c>
      <c r="D165" s="498"/>
      <c r="E165" s="498"/>
      <c r="F165" s="499"/>
      <c r="G165" s="194">
        <v>8</v>
      </c>
      <c r="H165" s="148">
        <v>12</v>
      </c>
      <c r="I165" s="185">
        <v>71.66</v>
      </c>
      <c r="J165" s="495">
        <f t="shared" si="6"/>
        <v>47.77</v>
      </c>
      <c r="K165" s="496"/>
      <c r="M165" s="34"/>
    </row>
    <row r="166" spans="2:13" s="35" customFormat="1" ht="12.75">
      <c r="B166" s="38"/>
      <c r="C166" s="526" t="s">
        <v>289</v>
      </c>
      <c r="D166" s="527"/>
      <c r="E166" s="527"/>
      <c r="F166" s="528"/>
      <c r="G166" s="194">
        <v>8</v>
      </c>
      <c r="H166" s="148">
        <v>12</v>
      </c>
      <c r="I166" s="185">
        <v>361.37</v>
      </c>
      <c r="J166" s="495">
        <f t="shared" si="6"/>
        <v>240.91</v>
      </c>
      <c r="K166" s="496"/>
      <c r="M166" s="34"/>
    </row>
    <row r="167" spans="2:13" s="35" customFormat="1" ht="13.5" customHeight="1">
      <c r="B167" s="38"/>
      <c r="C167" s="532" t="str">
        <f>'1. Forn. de Mudas e Plantio'!C108:E108</f>
        <v>vassouras de piaçava com 20cm</v>
      </c>
      <c r="D167" s="498"/>
      <c r="E167" s="498"/>
      <c r="F167" s="499"/>
      <c r="G167" s="194">
        <v>15</v>
      </c>
      <c r="H167" s="148">
        <v>12</v>
      </c>
      <c r="I167" s="185">
        <f>'1. Forn. de Mudas e Plantio'!I108</f>
        <v>22.93</v>
      </c>
      <c r="J167" s="495">
        <f t="shared" si="6"/>
        <v>28.66</v>
      </c>
      <c r="K167" s="496"/>
      <c r="M167" s="34"/>
    </row>
    <row r="168" spans="2:13" s="35" customFormat="1" ht="24" customHeight="1">
      <c r="B168" s="38"/>
      <c r="C168" s="497" t="s">
        <v>290</v>
      </c>
      <c r="D168" s="498"/>
      <c r="E168" s="498"/>
      <c r="F168" s="499"/>
      <c r="G168" s="194">
        <v>10</v>
      </c>
      <c r="H168" s="148">
        <v>12</v>
      </c>
      <c r="I168" s="185">
        <f>'1. Forn. de Mudas e Plantio'!I110</f>
        <v>48.08</v>
      </c>
      <c r="J168" s="495">
        <f t="shared" si="6"/>
        <v>40.07</v>
      </c>
      <c r="K168" s="496"/>
      <c r="M168" s="34"/>
    </row>
    <row r="169" spans="2:13" s="35" customFormat="1" ht="28.5" customHeight="1">
      <c r="B169" s="38"/>
      <c r="C169" s="533" t="s">
        <v>291</v>
      </c>
      <c r="D169" s="534"/>
      <c r="E169" s="534"/>
      <c r="F169" s="535"/>
      <c r="G169" s="194">
        <v>8</v>
      </c>
      <c r="H169" s="148">
        <v>12</v>
      </c>
      <c r="I169" s="185">
        <v>56.47</v>
      </c>
      <c r="J169" s="495">
        <f t="shared" si="6"/>
        <v>37.65</v>
      </c>
      <c r="K169" s="496"/>
      <c r="M169" s="34"/>
    </row>
    <row r="170" spans="2:13" s="35" customFormat="1" ht="13.5" customHeight="1">
      <c r="B170" s="38"/>
      <c r="C170" s="497" t="s">
        <v>292</v>
      </c>
      <c r="D170" s="498"/>
      <c r="E170" s="498"/>
      <c r="F170" s="499"/>
      <c r="G170" s="194">
        <v>250</v>
      </c>
      <c r="H170" s="148">
        <v>12</v>
      </c>
      <c r="I170" s="185">
        <v>102.13</v>
      </c>
      <c r="J170" s="495">
        <f t="shared" si="6"/>
        <v>2127.71</v>
      </c>
      <c r="K170" s="496"/>
      <c r="M170" s="34"/>
    </row>
    <row r="171" spans="2:13" s="35" customFormat="1" ht="13.5" customHeight="1">
      <c r="B171" s="38"/>
      <c r="C171" s="506" t="s">
        <v>298</v>
      </c>
      <c r="D171" s="507"/>
      <c r="E171" s="507"/>
      <c r="F171" s="508"/>
      <c r="G171" s="194">
        <v>8</v>
      </c>
      <c r="H171" s="148">
        <v>1</v>
      </c>
      <c r="I171" s="185">
        <v>44.44</v>
      </c>
      <c r="J171" s="495">
        <f t="shared" si="6"/>
        <v>355.52</v>
      </c>
      <c r="K171" s="496"/>
      <c r="M171" s="34"/>
    </row>
    <row r="172" spans="2:13" s="35" customFormat="1" ht="13.5" customHeight="1">
      <c r="B172" s="38"/>
      <c r="C172" s="506" t="s">
        <v>299</v>
      </c>
      <c r="D172" s="507"/>
      <c r="E172" s="507"/>
      <c r="F172" s="508"/>
      <c r="G172" s="194">
        <v>10</v>
      </c>
      <c r="H172" s="148">
        <v>1</v>
      </c>
      <c r="I172" s="185">
        <v>17.46</v>
      </c>
      <c r="J172" s="495">
        <f t="shared" si="6"/>
        <v>174.6</v>
      </c>
      <c r="K172" s="496"/>
      <c r="M172" s="34"/>
    </row>
    <row r="173" spans="2:13" s="35" customFormat="1" ht="13.5" customHeight="1">
      <c r="B173" s="38"/>
      <c r="C173" s="500" t="s">
        <v>278</v>
      </c>
      <c r="D173" s="501"/>
      <c r="E173" s="501"/>
      <c r="F173" s="502"/>
      <c r="G173" s="194">
        <v>2</v>
      </c>
      <c r="H173" s="148">
        <v>12</v>
      </c>
      <c r="I173" s="185">
        <v>4666.14</v>
      </c>
      <c r="J173" s="495">
        <f t="shared" si="6"/>
        <v>777.69</v>
      </c>
      <c r="K173" s="496"/>
      <c r="M173" s="34"/>
    </row>
    <row r="174" spans="2:13" s="35" customFormat="1" ht="13.5" customHeight="1">
      <c r="B174" s="38"/>
      <c r="C174" s="500" t="s">
        <v>279</v>
      </c>
      <c r="D174" s="501"/>
      <c r="E174" s="501"/>
      <c r="F174" s="502"/>
      <c r="G174" s="194">
        <v>2</v>
      </c>
      <c r="H174" s="148">
        <v>12</v>
      </c>
      <c r="I174" s="185">
        <v>3159.11</v>
      </c>
      <c r="J174" s="495">
        <f t="shared" si="6"/>
        <v>526.52</v>
      </c>
      <c r="K174" s="496"/>
      <c r="M174" s="34"/>
    </row>
    <row r="175" spans="2:13" s="35" customFormat="1" ht="13.5" customHeight="1">
      <c r="B175" s="38"/>
      <c r="C175" s="500" t="s">
        <v>294</v>
      </c>
      <c r="D175" s="501"/>
      <c r="E175" s="501"/>
      <c r="F175" s="502"/>
      <c r="G175" s="194">
        <v>1</v>
      </c>
      <c r="H175" s="148">
        <v>12</v>
      </c>
      <c r="I175" s="185">
        <f>'1. Forn. de Mudas e Plantio'!I112</f>
        <v>2350</v>
      </c>
      <c r="J175" s="495">
        <f t="shared" si="6"/>
        <v>195.83</v>
      </c>
      <c r="K175" s="496"/>
      <c r="M175" s="34"/>
    </row>
    <row r="176" spans="2:13" s="35" customFormat="1" ht="13.5" customHeight="1">
      <c r="B176" s="38"/>
      <c r="C176" s="500" t="s">
        <v>295</v>
      </c>
      <c r="D176" s="501"/>
      <c r="E176" s="501"/>
      <c r="F176" s="502"/>
      <c r="G176" s="194">
        <v>2</v>
      </c>
      <c r="H176" s="148">
        <v>12</v>
      </c>
      <c r="I176" s="185">
        <f>'1. Forn. de Mudas e Plantio'!I113</f>
        <v>370.71</v>
      </c>
      <c r="J176" s="495">
        <f t="shared" si="6"/>
        <v>61.79</v>
      </c>
      <c r="K176" s="496"/>
      <c r="M176" s="34"/>
    </row>
    <row r="177" spans="2:13" s="35" customFormat="1" ht="13.5" customHeight="1">
      <c r="B177" s="38"/>
      <c r="C177" s="503" t="s">
        <v>297</v>
      </c>
      <c r="D177" s="504"/>
      <c r="E177" s="504"/>
      <c r="F177" s="505"/>
      <c r="G177" s="194">
        <v>1</v>
      </c>
      <c r="H177" s="148">
        <v>12</v>
      </c>
      <c r="I177" s="185">
        <f>'1. Forn. de Mudas e Plantio'!I114</f>
        <v>106.78</v>
      </c>
      <c r="J177" s="495">
        <f t="shared" si="6"/>
        <v>8.9</v>
      </c>
      <c r="K177" s="496"/>
      <c r="M177" s="34"/>
    </row>
    <row r="178" spans="2:13" s="35" customFormat="1" ht="13.5" customHeight="1">
      <c r="B178" s="38"/>
      <c r="C178" s="500" t="s">
        <v>296</v>
      </c>
      <c r="D178" s="501"/>
      <c r="E178" s="501"/>
      <c r="F178" s="502"/>
      <c r="G178" s="194">
        <v>1</v>
      </c>
      <c r="H178" s="148">
        <v>1</v>
      </c>
      <c r="I178" s="185">
        <f>'1. Forn. de Mudas e Plantio'!I115</f>
        <v>70</v>
      </c>
      <c r="J178" s="495">
        <f t="shared" si="6"/>
        <v>70</v>
      </c>
      <c r="K178" s="496"/>
      <c r="M178" s="34"/>
    </row>
    <row r="179" spans="2:13" s="35" customFormat="1" ht="13.5" customHeight="1">
      <c r="B179" s="38"/>
      <c r="C179" s="500"/>
      <c r="D179" s="501"/>
      <c r="E179" s="501"/>
      <c r="F179" s="502"/>
      <c r="G179" s="194"/>
      <c r="H179" s="148"/>
      <c r="I179" s="185"/>
      <c r="J179" s="495"/>
      <c r="K179" s="496"/>
      <c r="M179" s="34"/>
    </row>
    <row r="180" spans="2:14" ht="15" customHeight="1">
      <c r="B180" s="109"/>
      <c r="C180" s="101" t="s">
        <v>300</v>
      </c>
      <c r="D180" s="102"/>
      <c r="E180" s="110"/>
      <c r="F180" s="102"/>
      <c r="G180" s="110"/>
      <c r="H180" s="102"/>
      <c r="I180" s="151"/>
      <c r="J180" s="418">
        <f>SUM(J156:K179)</f>
        <v>5412.29</v>
      </c>
      <c r="K180" s="413"/>
      <c r="L180" s="69"/>
      <c r="M180" s="70"/>
      <c r="N180" s="153"/>
    </row>
    <row r="181" spans="2:14" ht="15" customHeight="1">
      <c r="B181" s="109"/>
      <c r="C181" s="111"/>
      <c r="D181" s="112"/>
      <c r="E181" s="111"/>
      <c r="F181" s="112"/>
      <c r="G181" s="111"/>
      <c r="H181" s="112"/>
      <c r="I181" s="91"/>
      <c r="J181" s="154"/>
      <c r="K181" s="154"/>
      <c r="L181" s="69"/>
      <c r="M181" s="70"/>
      <c r="N181" s="153"/>
    </row>
    <row r="182" spans="3:14" ht="15" customHeight="1">
      <c r="C182" s="99"/>
      <c r="D182" s="64"/>
      <c r="E182" s="99"/>
      <c r="F182" s="64"/>
      <c r="G182" s="99"/>
      <c r="H182" s="64"/>
      <c r="I182" s="137"/>
      <c r="J182" s="99"/>
      <c r="N182" s="153"/>
    </row>
    <row r="183" spans="3:14" ht="15" customHeight="1">
      <c r="C183" s="166" t="s">
        <v>176</v>
      </c>
      <c r="D183" s="72"/>
      <c r="E183" s="108"/>
      <c r="F183" s="72"/>
      <c r="G183" s="108"/>
      <c r="H183" s="72"/>
      <c r="I183" s="167"/>
      <c r="J183" s="39"/>
      <c r="N183" s="153"/>
    </row>
    <row r="184" spans="3:14" ht="15" customHeight="1">
      <c r="C184" s="168" t="s">
        <v>50</v>
      </c>
      <c r="D184" s="169"/>
      <c r="E184" s="149"/>
      <c r="F184" s="169"/>
      <c r="G184" s="149"/>
      <c r="H184" s="131"/>
      <c r="I184" s="170">
        <f>H89</f>
        <v>20434.82</v>
      </c>
      <c r="J184" s="39"/>
      <c r="N184" s="153"/>
    </row>
    <row r="185" spans="3:14" ht="15" customHeight="1">
      <c r="C185" s="71" t="s">
        <v>154</v>
      </c>
      <c r="D185" s="72"/>
      <c r="E185" s="108"/>
      <c r="F185" s="72"/>
      <c r="G185" s="108"/>
      <c r="H185" s="53"/>
      <c r="I185" s="171">
        <f>I116</f>
        <v>22306.67</v>
      </c>
      <c r="J185" s="39"/>
      <c r="N185" s="153"/>
    </row>
    <row r="186" spans="3:14" ht="15" customHeight="1">
      <c r="C186" s="105" t="s">
        <v>64</v>
      </c>
      <c r="D186" s="39"/>
      <c r="E186" s="91"/>
      <c r="F186" s="39"/>
      <c r="G186" s="91"/>
      <c r="H186" s="134"/>
      <c r="I186" s="172">
        <f>J180</f>
        <v>5412.29</v>
      </c>
      <c r="J186" s="39"/>
      <c r="N186" s="153"/>
    </row>
    <row r="187" spans="2:14" ht="15" customHeight="1">
      <c r="B187" s="109"/>
      <c r="C187" s="101" t="s">
        <v>141</v>
      </c>
      <c r="D187" s="102"/>
      <c r="E187" s="110"/>
      <c r="F187" s="102"/>
      <c r="G187" s="110"/>
      <c r="H187" s="173"/>
      <c r="I187" s="174">
        <f>SUM(I184:I186)</f>
        <v>48153.78</v>
      </c>
      <c r="J187" s="111"/>
      <c r="K187" s="70"/>
      <c r="L187" s="69"/>
      <c r="M187" s="70"/>
      <c r="N187" s="153"/>
    </row>
    <row r="188" spans="2:11" ht="15" customHeight="1">
      <c r="B188" s="109"/>
      <c r="C188" s="123"/>
      <c r="D188" s="175"/>
      <c r="E188" s="123"/>
      <c r="F188" s="175"/>
      <c r="G188" s="123"/>
      <c r="H188" s="175"/>
      <c r="I188" s="176"/>
      <c r="J188" s="112"/>
      <c r="K188" s="70"/>
    </row>
    <row r="189" spans="2:13" ht="12.75">
      <c r="B189" s="177"/>
      <c r="C189" s="421" t="s">
        <v>231</v>
      </c>
      <c r="D189" s="419"/>
      <c r="E189" s="419"/>
      <c r="F189" s="419"/>
      <c r="G189" s="419"/>
      <c r="H189" s="420"/>
      <c r="I189" s="421">
        <f>I187</f>
        <v>48153.78</v>
      </c>
      <c r="J189" s="420"/>
      <c r="K189" s="64"/>
      <c r="L189" s="64"/>
      <c r="M189" s="178"/>
    </row>
    <row r="190" spans="2:12" ht="12.75">
      <c r="B190" s="114"/>
      <c r="C190" s="421" t="s">
        <v>65</v>
      </c>
      <c r="D190" s="419"/>
      <c r="E190" s="419"/>
      <c r="F190" s="419"/>
      <c r="G190" s="419"/>
      <c r="H190" s="420"/>
      <c r="I190" s="476">
        <f>'BDI REF. SLU'!B14</f>
        <v>0.3512</v>
      </c>
      <c r="J190" s="477"/>
      <c r="K190" s="91"/>
      <c r="L190" s="39"/>
    </row>
    <row r="191" spans="2:12" ht="12.75">
      <c r="B191" s="114"/>
      <c r="C191" s="421" t="s">
        <v>232</v>
      </c>
      <c r="D191" s="419"/>
      <c r="E191" s="419"/>
      <c r="F191" s="419"/>
      <c r="G191" s="419"/>
      <c r="H191" s="420"/>
      <c r="I191" s="421">
        <f>ROUND(I189*(I190),2)-1</f>
        <v>16910.61</v>
      </c>
      <c r="J191" s="420"/>
      <c r="K191" s="64"/>
      <c r="L191" s="179"/>
    </row>
    <row r="192" spans="2:12" ht="12.75">
      <c r="B192" s="114"/>
      <c r="C192" s="421" t="s">
        <v>233</v>
      </c>
      <c r="D192" s="419"/>
      <c r="E192" s="419"/>
      <c r="F192" s="419"/>
      <c r="G192" s="419"/>
      <c r="H192" s="420"/>
      <c r="I192" s="421">
        <f>I189+I191</f>
        <v>65064.39</v>
      </c>
      <c r="J192" s="420"/>
      <c r="K192" s="64"/>
      <c r="L192" s="39"/>
    </row>
    <row r="193" spans="2:14" ht="12.75">
      <c r="B193" s="114"/>
      <c r="C193" s="421" t="s">
        <v>51</v>
      </c>
      <c r="D193" s="419"/>
      <c r="E193" s="419"/>
      <c r="F193" s="419"/>
      <c r="G193" s="419"/>
      <c r="H193" s="420"/>
      <c r="I193" s="421">
        <v>1</v>
      </c>
      <c r="J193" s="420"/>
      <c r="K193" s="64"/>
      <c r="L193" s="39"/>
      <c r="M193" s="91"/>
      <c r="N193" s="39"/>
    </row>
    <row r="194" spans="2:14" ht="12.75">
      <c r="B194" s="114"/>
      <c r="C194" s="421" t="s">
        <v>52</v>
      </c>
      <c r="D194" s="419"/>
      <c r="E194" s="419"/>
      <c r="F194" s="419"/>
      <c r="G194" s="419"/>
      <c r="H194" s="420"/>
      <c r="I194" s="421">
        <f>I192/I193</f>
        <v>65064.39</v>
      </c>
      <c r="J194" s="420"/>
      <c r="K194" s="64"/>
      <c r="L194" s="39"/>
      <c r="M194" s="91"/>
      <c r="N194" s="39"/>
    </row>
    <row r="195" spans="2:14" ht="15" customHeight="1">
      <c r="B195" s="114"/>
      <c r="C195" s="111"/>
      <c r="D195" s="112"/>
      <c r="E195" s="111"/>
      <c r="F195" s="112"/>
      <c r="G195" s="111"/>
      <c r="H195" s="112"/>
      <c r="I195" s="113"/>
      <c r="J195" s="175"/>
      <c r="K195" s="123"/>
      <c r="L195" s="39"/>
      <c r="M195" s="91"/>
      <c r="N195" s="39"/>
    </row>
    <row r="196" spans="2:12" ht="19.5" customHeight="1">
      <c r="B196" s="114"/>
      <c r="C196" s="123"/>
      <c r="D196" s="175"/>
      <c r="E196" s="123"/>
      <c r="F196" s="175"/>
      <c r="G196" s="123"/>
      <c r="H196" s="175"/>
      <c r="I196" s="123"/>
      <c r="J196" s="175"/>
      <c r="K196" s="123"/>
      <c r="L196" s="39"/>
    </row>
    <row r="197" spans="2:12" ht="19.5" customHeight="1">
      <c r="B197" s="114"/>
      <c r="C197" s="123"/>
      <c r="D197" s="175"/>
      <c r="E197" s="123"/>
      <c r="F197" s="175"/>
      <c r="G197" s="123"/>
      <c r="H197" s="175"/>
      <c r="I197" s="123"/>
      <c r="J197" s="175"/>
      <c r="K197" s="123"/>
      <c r="L197" s="39"/>
    </row>
    <row r="198" spans="2:12" ht="19.5" customHeight="1">
      <c r="B198" s="114"/>
      <c r="C198" s="123"/>
      <c r="D198" s="175"/>
      <c r="E198" s="123"/>
      <c r="F198" s="175"/>
      <c r="G198" s="123"/>
      <c r="H198" s="175"/>
      <c r="I198" s="123"/>
      <c r="J198" s="175"/>
      <c r="K198" s="123"/>
      <c r="L198" s="39"/>
    </row>
  </sheetData>
  <sheetProtection/>
  <mergeCells count="176">
    <mergeCell ref="C1:J1"/>
    <mergeCell ref="D3:J3"/>
    <mergeCell ref="C6:G6"/>
    <mergeCell ref="H6:I6"/>
    <mergeCell ref="J6:K6"/>
    <mergeCell ref="C7:G7"/>
    <mergeCell ref="H7:I7"/>
    <mergeCell ref="J7:K7"/>
    <mergeCell ref="C9:G9"/>
    <mergeCell ref="H8:I8"/>
    <mergeCell ref="C10:G10"/>
    <mergeCell ref="H10:I10"/>
    <mergeCell ref="J10:K10"/>
    <mergeCell ref="C15:F15"/>
    <mergeCell ref="H15:I15"/>
    <mergeCell ref="J15:K15"/>
    <mergeCell ref="C14:K14"/>
    <mergeCell ref="C16:F16"/>
    <mergeCell ref="H16:I16"/>
    <mergeCell ref="J16:K16"/>
    <mergeCell ref="J17:K17"/>
    <mergeCell ref="C18:F18"/>
    <mergeCell ref="H18:I18"/>
    <mergeCell ref="J18:K18"/>
    <mergeCell ref="C19:F19"/>
    <mergeCell ref="H19:I19"/>
    <mergeCell ref="J19:K19"/>
    <mergeCell ref="C17:F17"/>
    <mergeCell ref="H17:I17"/>
    <mergeCell ref="J173:K173"/>
    <mergeCell ref="C20:F20"/>
    <mergeCell ref="H20:I20"/>
    <mergeCell ref="J20:K20"/>
    <mergeCell ref="H21:I21"/>
    <mergeCell ref="C85:D85"/>
    <mergeCell ref="E85:F85"/>
    <mergeCell ref="C26:I26"/>
    <mergeCell ref="J21:K21"/>
    <mergeCell ref="H22:I22"/>
    <mergeCell ref="J22:K22"/>
    <mergeCell ref="C25:F25"/>
    <mergeCell ref="J25:K25"/>
    <mergeCell ref="J26:K26"/>
    <mergeCell ref="C27:I27"/>
    <mergeCell ref="C84:I84"/>
    <mergeCell ref="H23:I23"/>
    <mergeCell ref="J23:K23"/>
    <mergeCell ref="C24:F24"/>
    <mergeCell ref="H24:I24"/>
    <mergeCell ref="J24:K24"/>
    <mergeCell ref="J27:K27"/>
    <mergeCell ref="J49:K49"/>
    <mergeCell ref="H25:I25"/>
    <mergeCell ref="J42:K42"/>
    <mergeCell ref="J43:K43"/>
    <mergeCell ref="C150:I150"/>
    <mergeCell ref="C189:H189"/>
    <mergeCell ref="I189:J189"/>
    <mergeCell ref="J180:K180"/>
    <mergeCell ref="C172:F172"/>
    <mergeCell ref="J172:K172"/>
    <mergeCell ref="C173:F173"/>
    <mergeCell ref="J178:K178"/>
    <mergeCell ref="C168:F168"/>
    <mergeCell ref="C169:F169"/>
    <mergeCell ref="C190:H190"/>
    <mergeCell ref="I190:J190"/>
    <mergeCell ref="C191:H191"/>
    <mergeCell ref="I191:J191"/>
    <mergeCell ref="C192:H192"/>
    <mergeCell ref="I192:J192"/>
    <mergeCell ref="J175:K175"/>
    <mergeCell ref="C170:F170"/>
    <mergeCell ref="C193:H193"/>
    <mergeCell ref="I193:J193"/>
    <mergeCell ref="C194:H194"/>
    <mergeCell ref="I194:J194"/>
    <mergeCell ref="C8:G8"/>
    <mergeCell ref="H9:I9"/>
    <mergeCell ref="C29:K29"/>
    <mergeCell ref="C30:F30"/>
    <mergeCell ref="J30:K30"/>
    <mergeCell ref="J170:K170"/>
    <mergeCell ref="J166:K166"/>
    <mergeCell ref="J167:K167"/>
    <mergeCell ref="J168:K168"/>
    <mergeCell ref="J169:K169"/>
    <mergeCell ref="C167:F167"/>
    <mergeCell ref="C42:F42"/>
    <mergeCell ref="C43:F43"/>
    <mergeCell ref="C158:F158"/>
    <mergeCell ref="C159:F159"/>
    <mergeCell ref="C155:F155"/>
    <mergeCell ref="J31:K31"/>
    <mergeCell ref="C32:F32"/>
    <mergeCell ref="J32:K32"/>
    <mergeCell ref="J38:K38"/>
    <mergeCell ref="C105:H105"/>
    <mergeCell ref="C112:I112"/>
    <mergeCell ref="C31:F31"/>
    <mergeCell ref="J39:K39"/>
    <mergeCell ref="C44:I44"/>
    <mergeCell ref="J44:K44"/>
    <mergeCell ref="C156:F156"/>
    <mergeCell ref="C157:F157"/>
    <mergeCell ref="C39:F39"/>
    <mergeCell ref="C165:F165"/>
    <mergeCell ref="C166:F166"/>
    <mergeCell ref="C139:I139"/>
    <mergeCell ref="C161:F161"/>
    <mergeCell ref="C162:F162"/>
    <mergeCell ref="C163:F163"/>
    <mergeCell ref="C123:I123"/>
    <mergeCell ref="J45:K45"/>
    <mergeCell ref="C132:H132"/>
    <mergeCell ref="J67:K67"/>
    <mergeCell ref="J40:K40"/>
    <mergeCell ref="C121:G121"/>
    <mergeCell ref="C122:G122"/>
    <mergeCell ref="H89:I89"/>
    <mergeCell ref="J41:K41"/>
    <mergeCell ref="C94:F94"/>
    <mergeCell ref="E86:F86"/>
    <mergeCell ref="J33:K33"/>
    <mergeCell ref="J34:K34"/>
    <mergeCell ref="J35:K35"/>
    <mergeCell ref="J36:K36"/>
    <mergeCell ref="J37:K37"/>
    <mergeCell ref="C37:F37"/>
    <mergeCell ref="C38:F38"/>
    <mergeCell ref="C40:F40"/>
    <mergeCell ref="C96:I96"/>
    <mergeCell ref="C33:F33"/>
    <mergeCell ref="C34:F34"/>
    <mergeCell ref="C35:F35"/>
    <mergeCell ref="C45:I45"/>
    <mergeCell ref="C41:F41"/>
    <mergeCell ref="C86:D86"/>
    <mergeCell ref="C92:J92"/>
    <mergeCell ref="G85:H85"/>
    <mergeCell ref="G86:H86"/>
    <mergeCell ref="C36:F36"/>
    <mergeCell ref="J156:K156"/>
    <mergeCell ref="J157:K157"/>
    <mergeCell ref="J158:K158"/>
    <mergeCell ref="J155:K155"/>
    <mergeCell ref="C146:J146"/>
    <mergeCell ref="C95:F95"/>
    <mergeCell ref="C147:I147"/>
    <mergeCell ref="J159:K159"/>
    <mergeCell ref="J160:K160"/>
    <mergeCell ref="C174:F174"/>
    <mergeCell ref="J174:K174"/>
    <mergeCell ref="C171:F171"/>
    <mergeCell ref="J171:K171"/>
    <mergeCell ref="J161:K161"/>
    <mergeCell ref="J162:K162"/>
    <mergeCell ref="J163:K163"/>
    <mergeCell ref="J164:K164"/>
    <mergeCell ref="J165:K165"/>
    <mergeCell ref="C164:F164"/>
    <mergeCell ref="C179:F179"/>
    <mergeCell ref="J179:K179"/>
    <mergeCell ref="C175:F175"/>
    <mergeCell ref="C176:F176"/>
    <mergeCell ref="C177:F177"/>
    <mergeCell ref="C178:F178"/>
    <mergeCell ref="J177:K177"/>
    <mergeCell ref="J176:K176"/>
    <mergeCell ref="C148:I148"/>
    <mergeCell ref="C149:I149"/>
    <mergeCell ref="C87:D87"/>
    <mergeCell ref="E87:F87"/>
    <mergeCell ref="E88:F88"/>
    <mergeCell ref="G87:H87"/>
    <mergeCell ref="G88:H88"/>
  </mergeCells>
  <printOptions horizontalCentered="1"/>
  <pageMargins left="0.35433070866141736" right="0.31496062992125984" top="0.4330708661417323" bottom="0.6299212598425197" header="0.5118110236220472" footer="0.4724409448818898"/>
  <pageSetup fitToHeight="0" fitToWidth="1" horizontalDpi="600" verticalDpi="600" orientation="portrait" paperSize="9" scale="82" r:id="rId1"/>
  <rowBreaks count="3" manualBreakCount="3">
    <brk id="63" min="1" max="10" man="1"/>
    <brk id="123" min="1" max="10" man="1"/>
    <brk id="181" min="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O261"/>
  <sheetViews>
    <sheetView showGridLines="0" view="pageBreakPreview" zoomScale="130" zoomScaleSheetLayoutView="130" zoomScalePageLayoutView="0" workbookViewId="0" topLeftCell="A198">
      <selection activeCell="L206" sqref="L206"/>
    </sheetView>
  </sheetViews>
  <sheetFormatPr defaultColWidth="8.7109375" defaultRowHeight="19.5" customHeight="1"/>
  <cols>
    <col min="1" max="1" width="2.7109375" style="34" customWidth="1"/>
    <col min="2" max="2" width="3.28125" style="38" customWidth="1"/>
    <col min="3" max="3" width="13.7109375" style="34" customWidth="1"/>
    <col min="4" max="4" width="16.57421875" style="35" customWidth="1"/>
    <col min="5" max="5" width="12.8515625" style="34" customWidth="1"/>
    <col min="6" max="6" width="10.7109375" style="35" customWidth="1"/>
    <col min="7" max="7" width="17.140625" style="34" customWidth="1"/>
    <col min="8" max="8" width="10.7109375" style="35" customWidth="1"/>
    <col min="9" max="9" width="15.57421875" style="34" customWidth="1"/>
    <col min="10" max="10" width="15.421875" style="35" customWidth="1"/>
    <col min="11" max="11" width="3.57421875" style="34" customWidth="1"/>
    <col min="12" max="12" width="4.421875" style="35" customWidth="1"/>
    <col min="13" max="13" width="7.8515625" style="34" customWidth="1"/>
    <col min="14" max="14" width="4.7109375" style="35" customWidth="1"/>
    <col min="15" max="15" width="11.28125" style="34" customWidth="1"/>
    <col min="16" max="16384" width="8.7109375" style="34" customWidth="1"/>
  </cols>
  <sheetData>
    <row r="1" spans="2:15" s="20" customFormat="1" ht="24.75" customHeight="1">
      <c r="B1" s="17"/>
      <c r="C1" s="400" t="s">
        <v>213</v>
      </c>
      <c r="D1" s="401"/>
      <c r="E1" s="401"/>
      <c r="F1" s="401"/>
      <c r="G1" s="401"/>
      <c r="H1" s="401"/>
      <c r="I1" s="401"/>
      <c r="J1" s="402"/>
      <c r="K1" s="18"/>
      <c r="L1" s="18"/>
      <c r="M1" s="17"/>
      <c r="N1" s="19"/>
      <c r="O1" s="19"/>
    </row>
    <row r="2" spans="2:15" s="20" customFormat="1" ht="17.25" customHeight="1">
      <c r="B2" s="17"/>
      <c r="C2" s="21"/>
      <c r="D2" s="21"/>
      <c r="E2" s="21"/>
      <c r="F2" s="21"/>
      <c r="G2" s="21"/>
      <c r="H2" s="21"/>
      <c r="I2" s="21"/>
      <c r="J2" s="21"/>
      <c r="K2" s="21"/>
      <c r="L2" s="21"/>
      <c r="M2" s="17"/>
      <c r="N2" s="19"/>
      <c r="O2" s="19"/>
    </row>
    <row r="3" spans="3:14" s="20" customFormat="1" ht="44.25" customHeight="1">
      <c r="C3" s="22" t="s">
        <v>130</v>
      </c>
      <c r="D3" s="403" t="str">
        <f>'Planilha de Preços'!B6</f>
        <v>EQUIPE PADRÃO PARA EXECUÇÃO DOS SERVIÇOS DE ZELADORIA DE PRAÇAS, PARQUES E JARDINS, PODA DE GRAMA EM CANTEIROS DE AVENIDAS.</v>
      </c>
      <c r="E3" s="403"/>
      <c r="F3" s="403"/>
      <c r="G3" s="403"/>
      <c r="H3" s="403"/>
      <c r="I3" s="403"/>
      <c r="J3" s="404"/>
      <c r="K3" s="23"/>
      <c r="L3" s="24"/>
      <c r="M3" s="25"/>
      <c r="N3" s="26"/>
    </row>
    <row r="4" spans="3:14" s="20" customFormat="1" ht="18" customHeight="1">
      <c r="C4" s="27"/>
      <c r="D4" s="27"/>
      <c r="E4" s="27"/>
      <c r="F4" s="27"/>
      <c r="G4" s="27"/>
      <c r="H4" s="27"/>
      <c r="I4" s="27"/>
      <c r="J4" s="28">
        <v>44440</v>
      </c>
      <c r="K4" s="29"/>
      <c r="L4" s="29"/>
      <c r="N4" s="26"/>
    </row>
    <row r="5" spans="2:14" ht="15" customHeight="1">
      <c r="B5" s="30"/>
      <c r="C5" s="35"/>
      <c r="E5" s="35"/>
      <c r="G5" s="36"/>
      <c r="H5" s="36"/>
      <c r="I5" s="37"/>
      <c r="J5" s="37"/>
      <c r="K5" s="31"/>
      <c r="L5" s="32"/>
      <c r="M5" s="33"/>
      <c r="N5" s="33"/>
    </row>
    <row r="6" spans="3:11" ht="15" customHeight="1">
      <c r="C6" s="442" t="s">
        <v>34</v>
      </c>
      <c r="D6" s="443"/>
      <c r="E6" s="443"/>
      <c r="F6" s="443"/>
      <c r="G6" s="444"/>
      <c r="H6" s="446" t="s">
        <v>88</v>
      </c>
      <c r="I6" s="447"/>
      <c r="J6" s="445"/>
      <c r="K6" s="445"/>
    </row>
    <row r="7" spans="3:11" ht="15" customHeight="1">
      <c r="C7" s="40" t="s">
        <v>228</v>
      </c>
      <c r="D7" s="41"/>
      <c r="E7" s="41"/>
      <c r="F7" s="41"/>
      <c r="G7" s="42"/>
      <c r="H7" s="392">
        <v>2</v>
      </c>
      <c r="I7" s="393"/>
      <c r="J7" s="43"/>
      <c r="K7" s="43"/>
    </row>
    <row r="8" spans="3:11" ht="15" customHeight="1">
      <c r="C8" s="449" t="s">
        <v>226</v>
      </c>
      <c r="D8" s="450"/>
      <c r="E8" s="450"/>
      <c r="F8" s="450"/>
      <c r="G8" s="451"/>
      <c r="H8" s="392">
        <v>1</v>
      </c>
      <c r="I8" s="393"/>
      <c r="J8" s="448"/>
      <c r="K8" s="448"/>
    </row>
    <row r="9" spans="3:11" ht="15" customHeight="1">
      <c r="C9" s="449" t="s">
        <v>227</v>
      </c>
      <c r="D9" s="450"/>
      <c r="E9" s="450"/>
      <c r="F9" s="450"/>
      <c r="G9" s="451"/>
      <c r="H9" s="392">
        <v>1</v>
      </c>
      <c r="I9" s="393"/>
      <c r="J9" s="43"/>
      <c r="K9" s="43"/>
    </row>
    <row r="10" spans="3:11" ht="15" customHeight="1">
      <c r="C10" s="449" t="s">
        <v>119</v>
      </c>
      <c r="D10" s="450"/>
      <c r="E10" s="450"/>
      <c r="F10" s="450"/>
      <c r="G10" s="451"/>
      <c r="H10" s="392">
        <v>4</v>
      </c>
      <c r="I10" s="393"/>
      <c r="J10" s="43"/>
      <c r="K10" s="43"/>
    </row>
    <row r="11" spans="3:11" ht="15" customHeight="1">
      <c r="C11" s="453" t="s">
        <v>1</v>
      </c>
      <c r="D11" s="454"/>
      <c r="E11" s="454"/>
      <c r="F11" s="454"/>
      <c r="G11" s="455"/>
      <c r="H11" s="456">
        <f>SUM(H7:I10)</f>
        <v>8</v>
      </c>
      <c r="I11" s="457"/>
      <c r="J11" s="461"/>
      <c r="K11" s="461"/>
    </row>
    <row r="12" spans="3:11" ht="9" customHeight="1">
      <c r="C12" s="44"/>
      <c r="D12" s="44"/>
      <c r="E12" s="44"/>
      <c r="F12" s="44"/>
      <c r="G12" s="44"/>
      <c r="H12" s="45"/>
      <c r="I12" s="45"/>
      <c r="J12" s="43"/>
      <c r="K12" s="43"/>
    </row>
    <row r="13" ht="15" customHeight="1">
      <c r="C13" s="46" t="s">
        <v>35</v>
      </c>
    </row>
    <row r="14" ht="15" customHeight="1"/>
    <row r="15" spans="3:11" ht="15" customHeight="1">
      <c r="C15" s="458" t="s">
        <v>313</v>
      </c>
      <c r="D15" s="459"/>
      <c r="E15" s="459"/>
      <c r="F15" s="459"/>
      <c r="G15" s="459"/>
      <c r="H15" s="459"/>
      <c r="I15" s="459"/>
      <c r="J15" s="459"/>
      <c r="K15" s="460"/>
    </row>
    <row r="16" spans="3:11" ht="15" customHeight="1">
      <c r="C16" s="453" t="s">
        <v>12</v>
      </c>
      <c r="D16" s="454"/>
      <c r="E16" s="454"/>
      <c r="F16" s="455"/>
      <c r="G16" s="47" t="s">
        <v>42</v>
      </c>
      <c r="H16" s="452" t="s">
        <v>45</v>
      </c>
      <c r="I16" s="452"/>
      <c r="J16" s="452" t="s">
        <v>46</v>
      </c>
      <c r="K16" s="452"/>
    </row>
    <row r="17" spans="3:11" ht="15" customHeight="1">
      <c r="C17" s="422" t="s">
        <v>219</v>
      </c>
      <c r="D17" s="423"/>
      <c r="E17" s="423"/>
      <c r="F17" s="424"/>
      <c r="G17" s="51">
        <f>'1. Forn. de Mudas e Plantio'!G15</f>
        <v>6</v>
      </c>
      <c r="H17" s="395">
        <f>'1. Forn. de Mudas e Plantio'!H15:I15</f>
        <v>41.67</v>
      </c>
      <c r="I17" s="396"/>
      <c r="J17" s="395">
        <f aca="true" t="shared" si="0" ref="J17:J25">ROUND(G17*H17,2)</f>
        <v>250.02</v>
      </c>
      <c r="K17" s="396"/>
    </row>
    <row r="18" spans="3:11" ht="15" customHeight="1">
      <c r="C18" s="422" t="s">
        <v>218</v>
      </c>
      <c r="D18" s="423"/>
      <c r="E18" s="423"/>
      <c r="F18" s="424"/>
      <c r="G18" s="51">
        <f>'1. Forn. de Mudas e Plantio'!G16</f>
        <v>6</v>
      </c>
      <c r="H18" s="395">
        <f>'1. Forn. de Mudas e Plantio'!H16:I16</f>
        <v>82.75</v>
      </c>
      <c r="I18" s="396"/>
      <c r="J18" s="395">
        <f t="shared" si="0"/>
        <v>496.5</v>
      </c>
      <c r="K18" s="396"/>
    </row>
    <row r="19" spans="3:11" ht="15" customHeight="1">
      <c r="C19" s="422" t="s">
        <v>129</v>
      </c>
      <c r="D19" s="423"/>
      <c r="E19" s="423"/>
      <c r="F19" s="424"/>
      <c r="G19" s="51">
        <v>3</v>
      </c>
      <c r="H19" s="395">
        <f>'1. Forn. de Mudas e Plantio'!H17:I17</f>
        <v>38.28</v>
      </c>
      <c r="I19" s="396"/>
      <c r="J19" s="395">
        <f t="shared" si="0"/>
        <v>114.84</v>
      </c>
      <c r="K19" s="396"/>
    </row>
    <row r="20" spans="3:11" ht="15" customHeight="1">
      <c r="C20" s="422" t="s">
        <v>17</v>
      </c>
      <c r="D20" s="423"/>
      <c r="E20" s="423"/>
      <c r="F20" s="424"/>
      <c r="G20" s="51">
        <v>3</v>
      </c>
      <c r="H20" s="395">
        <f>'1. Forn. de Mudas e Plantio'!H18:I18</f>
        <v>41.8</v>
      </c>
      <c r="I20" s="396"/>
      <c r="J20" s="395">
        <f t="shared" si="0"/>
        <v>125.4</v>
      </c>
      <c r="K20" s="396"/>
    </row>
    <row r="21" spans="3:11" ht="15" customHeight="1">
      <c r="C21" s="430" t="s">
        <v>79</v>
      </c>
      <c r="D21" s="431"/>
      <c r="E21" s="431"/>
      <c r="F21" s="432"/>
      <c r="G21" s="57">
        <v>1</v>
      </c>
      <c r="H21" s="395">
        <f>'1. Forn. de Mudas e Plantio'!H19:I19</f>
        <v>27.33</v>
      </c>
      <c r="I21" s="396"/>
      <c r="J21" s="433">
        <f t="shared" si="0"/>
        <v>27.33</v>
      </c>
      <c r="K21" s="434"/>
    </row>
    <row r="22" spans="3:11" ht="15" customHeight="1">
      <c r="C22" s="54" t="s">
        <v>220</v>
      </c>
      <c r="D22" s="55"/>
      <c r="E22" s="55"/>
      <c r="F22" s="56"/>
      <c r="G22" s="58">
        <v>3</v>
      </c>
      <c r="H22" s="395">
        <f>'1. Forn. de Mudas e Plantio'!H20:I20</f>
        <v>9.93</v>
      </c>
      <c r="I22" s="396"/>
      <c r="J22" s="433">
        <f t="shared" si="0"/>
        <v>29.79</v>
      </c>
      <c r="K22" s="434"/>
    </row>
    <row r="23" spans="3:11" ht="15" customHeight="1">
      <c r="C23" s="54" t="s">
        <v>217</v>
      </c>
      <c r="D23" s="55"/>
      <c r="E23" s="55"/>
      <c r="F23" s="56"/>
      <c r="G23" s="58">
        <v>3</v>
      </c>
      <c r="H23" s="395">
        <f>'1. Forn. de Mudas e Plantio'!H21:I21</f>
        <v>3.85</v>
      </c>
      <c r="I23" s="396"/>
      <c r="J23" s="433">
        <f t="shared" si="0"/>
        <v>11.55</v>
      </c>
      <c r="K23" s="434"/>
    </row>
    <row r="24" spans="3:11" ht="15" customHeight="1">
      <c r="C24" s="54" t="s">
        <v>216</v>
      </c>
      <c r="D24" s="55"/>
      <c r="E24" s="55"/>
      <c r="F24" s="56"/>
      <c r="G24" s="58">
        <v>3</v>
      </c>
      <c r="H24" s="395">
        <f>'1. Forn. de Mudas e Plantio'!H22:I22</f>
        <v>29.29</v>
      </c>
      <c r="I24" s="396"/>
      <c r="J24" s="433">
        <f t="shared" si="0"/>
        <v>87.87</v>
      </c>
      <c r="K24" s="434"/>
    </row>
    <row r="25" spans="3:11" ht="15" customHeight="1">
      <c r="C25" s="435" t="s">
        <v>221</v>
      </c>
      <c r="D25" s="436"/>
      <c r="E25" s="436"/>
      <c r="F25" s="437"/>
      <c r="G25" s="52">
        <v>6</v>
      </c>
      <c r="H25" s="395">
        <f>'1. Forn. de Mudas e Plantio'!H23:I23</f>
        <v>14.45</v>
      </c>
      <c r="I25" s="396"/>
      <c r="J25" s="433">
        <f t="shared" si="0"/>
        <v>86.7</v>
      </c>
      <c r="K25" s="434"/>
    </row>
    <row r="26" spans="1:15" s="35" customFormat="1" ht="15" customHeight="1">
      <c r="A26" s="34"/>
      <c r="B26" s="38"/>
      <c r="C26" s="441" t="s">
        <v>261</v>
      </c>
      <c r="D26" s="441"/>
      <c r="E26" s="441"/>
      <c r="F26" s="441"/>
      <c r="G26" s="52">
        <v>2</v>
      </c>
      <c r="H26" s="395">
        <f>Insumos!D73</f>
        <v>32.51</v>
      </c>
      <c r="I26" s="396"/>
      <c r="J26" s="433">
        <f>ROUND(G26*H26,2)</f>
        <v>65.02</v>
      </c>
      <c r="K26" s="434"/>
      <c r="M26" s="34"/>
      <c r="O26" s="34"/>
    </row>
    <row r="27" spans="3:11" ht="15" customHeight="1">
      <c r="C27" s="422" t="s">
        <v>44</v>
      </c>
      <c r="D27" s="423"/>
      <c r="E27" s="423"/>
      <c r="F27" s="423"/>
      <c r="G27" s="423"/>
      <c r="H27" s="423"/>
      <c r="I27" s="424"/>
      <c r="J27" s="425">
        <f>SUM(J17:K26)</f>
        <v>1295.02</v>
      </c>
      <c r="K27" s="426"/>
    </row>
    <row r="28" spans="3:11" ht="15" customHeight="1">
      <c r="C28" s="438" t="s">
        <v>47</v>
      </c>
      <c r="D28" s="439"/>
      <c r="E28" s="439"/>
      <c r="F28" s="439"/>
      <c r="G28" s="439"/>
      <c r="H28" s="439"/>
      <c r="I28" s="440"/>
      <c r="J28" s="468">
        <f>ROUND(J27/12,2)</f>
        <v>107.92</v>
      </c>
      <c r="K28" s="469"/>
    </row>
    <row r="29" spans="1:15" s="35" customFormat="1" ht="15" customHeight="1">
      <c r="A29" s="3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O29" s="34"/>
    </row>
    <row r="30" spans="3:11" ht="15" customHeight="1">
      <c r="C30" s="458" t="s">
        <v>311</v>
      </c>
      <c r="D30" s="459"/>
      <c r="E30" s="459"/>
      <c r="F30" s="459"/>
      <c r="G30" s="459"/>
      <c r="H30" s="459"/>
      <c r="I30" s="459"/>
      <c r="J30" s="459"/>
      <c r="K30" s="460"/>
    </row>
    <row r="31" spans="1:15" s="35" customFormat="1" ht="15" customHeight="1">
      <c r="A31" s="34"/>
      <c r="B31" s="38"/>
      <c r="C31" s="453" t="s">
        <v>12</v>
      </c>
      <c r="D31" s="454"/>
      <c r="E31" s="454"/>
      <c r="F31" s="455"/>
      <c r="G31" s="47" t="s">
        <v>42</v>
      </c>
      <c r="H31" s="421" t="s">
        <v>45</v>
      </c>
      <c r="I31" s="420"/>
      <c r="J31" s="421" t="s">
        <v>46</v>
      </c>
      <c r="K31" s="420"/>
      <c r="M31" s="34"/>
      <c r="O31" s="34"/>
    </row>
    <row r="32" spans="1:15" s="35" customFormat="1" ht="15" customHeight="1">
      <c r="A32" s="34"/>
      <c r="B32" s="38"/>
      <c r="C32" s="422" t="s">
        <v>219</v>
      </c>
      <c r="D32" s="423"/>
      <c r="E32" s="423"/>
      <c r="F32" s="424"/>
      <c r="G32" s="51">
        <f>'1. Forn. de Mudas e Plantio'!G15</f>
        <v>6</v>
      </c>
      <c r="H32" s="395">
        <f>'1. Forn. de Mudas e Plantio'!H15:I15</f>
        <v>41.67</v>
      </c>
      <c r="I32" s="396"/>
      <c r="J32" s="395">
        <f aca="true" t="shared" si="1" ref="J32:J43">ROUND(G32*H32,2)</f>
        <v>250.02</v>
      </c>
      <c r="K32" s="396"/>
      <c r="M32" s="34"/>
      <c r="O32" s="34"/>
    </row>
    <row r="33" spans="1:15" s="35" customFormat="1" ht="15" customHeight="1">
      <c r="A33" s="34"/>
      <c r="B33" s="38"/>
      <c r="C33" s="422" t="s">
        <v>218</v>
      </c>
      <c r="D33" s="423"/>
      <c r="E33" s="423"/>
      <c r="F33" s="424"/>
      <c r="G33" s="51">
        <f>'1. Forn. de Mudas e Plantio'!G16</f>
        <v>6</v>
      </c>
      <c r="H33" s="395">
        <f>'1. Forn. de Mudas e Plantio'!H16:I16</f>
        <v>82.75</v>
      </c>
      <c r="I33" s="396"/>
      <c r="J33" s="395">
        <f t="shared" si="1"/>
        <v>496.5</v>
      </c>
      <c r="K33" s="396"/>
      <c r="M33" s="34"/>
      <c r="O33" s="34"/>
    </row>
    <row r="34" spans="1:15" s="35" customFormat="1" ht="15" customHeight="1">
      <c r="A34" s="34"/>
      <c r="B34" s="38"/>
      <c r="C34" s="422" t="s">
        <v>129</v>
      </c>
      <c r="D34" s="423"/>
      <c r="E34" s="423"/>
      <c r="F34" s="424"/>
      <c r="G34" s="51">
        <f>'1. Forn. de Mudas e Plantio'!G17</f>
        <v>3</v>
      </c>
      <c r="H34" s="395">
        <f>'1. Forn. de Mudas e Plantio'!H17:I17</f>
        <v>38.28</v>
      </c>
      <c r="I34" s="396"/>
      <c r="J34" s="395">
        <f t="shared" si="1"/>
        <v>114.84</v>
      </c>
      <c r="K34" s="396"/>
      <c r="M34" s="34"/>
      <c r="O34" s="34"/>
    </row>
    <row r="35" spans="1:15" s="35" customFormat="1" ht="15" customHeight="1">
      <c r="A35" s="34"/>
      <c r="B35" s="38"/>
      <c r="C35" s="422" t="s">
        <v>17</v>
      </c>
      <c r="D35" s="423"/>
      <c r="E35" s="423"/>
      <c r="F35" s="424"/>
      <c r="G35" s="51">
        <v>3</v>
      </c>
      <c r="H35" s="395">
        <f>'1. Forn. de Mudas e Plantio'!H18:I18</f>
        <v>41.8</v>
      </c>
      <c r="I35" s="396"/>
      <c r="J35" s="395">
        <f t="shared" si="1"/>
        <v>125.4</v>
      </c>
      <c r="K35" s="396"/>
      <c r="M35" s="34"/>
      <c r="O35" s="34"/>
    </row>
    <row r="36" spans="1:15" s="35" customFormat="1" ht="15" customHeight="1">
      <c r="A36" s="34"/>
      <c r="B36" s="38"/>
      <c r="C36" s="422" t="s">
        <v>79</v>
      </c>
      <c r="D36" s="423"/>
      <c r="E36" s="423"/>
      <c r="F36" s="424"/>
      <c r="G36" s="57">
        <v>1</v>
      </c>
      <c r="H36" s="395">
        <f>'1. Forn. de Mudas e Plantio'!H19:I19</f>
        <v>27.33</v>
      </c>
      <c r="I36" s="396"/>
      <c r="J36" s="395">
        <f t="shared" si="1"/>
        <v>27.33</v>
      </c>
      <c r="K36" s="396"/>
      <c r="M36" s="34"/>
      <c r="O36" s="34"/>
    </row>
    <row r="37" spans="1:15" s="35" customFormat="1" ht="15" customHeight="1">
      <c r="A37" s="34"/>
      <c r="B37" s="38"/>
      <c r="C37" s="54" t="s">
        <v>220</v>
      </c>
      <c r="D37" s="55"/>
      <c r="E37" s="55"/>
      <c r="F37" s="56"/>
      <c r="G37" s="58">
        <v>3</v>
      </c>
      <c r="H37" s="395">
        <f>'1. Forn. de Mudas e Plantio'!H20:I20</f>
        <v>9.93</v>
      </c>
      <c r="I37" s="396"/>
      <c r="J37" s="395">
        <f t="shared" si="1"/>
        <v>29.79</v>
      </c>
      <c r="K37" s="396"/>
      <c r="M37" s="34"/>
      <c r="O37" s="34"/>
    </row>
    <row r="38" spans="1:15" s="35" customFormat="1" ht="15" customHeight="1">
      <c r="A38" s="34"/>
      <c r="B38" s="38"/>
      <c r="C38" s="54" t="s">
        <v>217</v>
      </c>
      <c r="D38" s="55"/>
      <c r="E38" s="55"/>
      <c r="F38" s="56"/>
      <c r="G38" s="58">
        <v>3</v>
      </c>
      <c r="H38" s="395">
        <f>'1. Forn. de Mudas e Plantio'!H21:I21</f>
        <v>3.85</v>
      </c>
      <c r="I38" s="396"/>
      <c r="J38" s="395">
        <f t="shared" si="1"/>
        <v>11.55</v>
      </c>
      <c r="K38" s="396"/>
      <c r="M38" s="34"/>
      <c r="O38" s="34"/>
    </row>
    <row r="39" spans="1:15" s="35" customFormat="1" ht="15" customHeight="1">
      <c r="A39" s="34"/>
      <c r="B39" s="38"/>
      <c r="C39" s="54" t="s">
        <v>216</v>
      </c>
      <c r="D39" s="55"/>
      <c r="E39" s="55"/>
      <c r="F39" s="56"/>
      <c r="G39" s="58">
        <v>3</v>
      </c>
      <c r="H39" s="395">
        <f>'1. Forn. de Mudas e Plantio'!H22:I22</f>
        <v>29.29</v>
      </c>
      <c r="I39" s="396"/>
      <c r="J39" s="395">
        <f t="shared" si="1"/>
        <v>87.87</v>
      </c>
      <c r="K39" s="396"/>
      <c r="M39" s="34"/>
      <c r="O39" s="34"/>
    </row>
    <row r="40" spans="1:15" s="35" customFormat="1" ht="15" customHeight="1">
      <c r="A40" s="34"/>
      <c r="B40" s="38"/>
      <c r="C40" s="435" t="s">
        <v>221</v>
      </c>
      <c r="D40" s="436"/>
      <c r="E40" s="436"/>
      <c r="F40" s="437"/>
      <c r="G40" s="52">
        <v>6</v>
      </c>
      <c r="H40" s="395">
        <f>'1. Forn. de Mudas e Plantio'!H23:I23</f>
        <v>14.45</v>
      </c>
      <c r="I40" s="396"/>
      <c r="J40" s="395">
        <f t="shared" si="1"/>
        <v>86.7</v>
      </c>
      <c r="K40" s="396"/>
      <c r="M40" s="34"/>
      <c r="O40" s="34"/>
    </row>
    <row r="41" spans="1:15" s="35" customFormat="1" ht="15" customHeight="1">
      <c r="A41" s="34"/>
      <c r="B41" s="38"/>
      <c r="C41" s="59" t="s">
        <v>308</v>
      </c>
      <c r="D41" s="60"/>
      <c r="E41" s="60"/>
      <c r="F41" s="61"/>
      <c r="G41" s="52">
        <v>4</v>
      </c>
      <c r="H41" s="395">
        <f>Insumos!D81</f>
        <v>39.31</v>
      </c>
      <c r="I41" s="396"/>
      <c r="J41" s="395">
        <f t="shared" si="1"/>
        <v>157.24</v>
      </c>
      <c r="K41" s="396"/>
      <c r="M41" s="34"/>
      <c r="O41" s="34"/>
    </row>
    <row r="42" spans="1:15" s="35" customFormat="1" ht="15" customHeight="1">
      <c r="A42" s="34"/>
      <c r="B42" s="38"/>
      <c r="C42" s="59" t="s">
        <v>309</v>
      </c>
      <c r="D42" s="60"/>
      <c r="E42" s="60"/>
      <c r="F42" s="61"/>
      <c r="G42" s="52">
        <v>3</v>
      </c>
      <c r="H42" s="395">
        <f>Insumos!D80</f>
        <v>1.65</v>
      </c>
      <c r="I42" s="396"/>
      <c r="J42" s="395">
        <f t="shared" si="1"/>
        <v>4.95</v>
      </c>
      <c r="K42" s="396"/>
      <c r="M42" s="34"/>
      <c r="O42" s="34"/>
    </row>
    <row r="43" spans="1:15" s="35" customFormat="1" ht="15" customHeight="1">
      <c r="A43" s="34"/>
      <c r="B43" s="38"/>
      <c r="C43" s="59" t="s">
        <v>310</v>
      </c>
      <c r="D43" s="60"/>
      <c r="E43" s="60"/>
      <c r="F43" s="61"/>
      <c r="G43" s="52">
        <v>4</v>
      </c>
      <c r="H43" s="395">
        <f>Insumos!D84</f>
        <v>37.34</v>
      </c>
      <c r="I43" s="396"/>
      <c r="J43" s="395">
        <f t="shared" si="1"/>
        <v>149.36</v>
      </c>
      <c r="K43" s="396"/>
      <c r="M43" s="34"/>
      <c r="O43" s="34"/>
    </row>
    <row r="44" spans="1:15" s="35" customFormat="1" ht="15" customHeight="1">
      <c r="A44" s="34"/>
      <c r="B44" s="38"/>
      <c r="C44" s="441" t="s">
        <v>261</v>
      </c>
      <c r="D44" s="441"/>
      <c r="E44" s="441"/>
      <c r="F44" s="441"/>
      <c r="G44" s="52">
        <v>2</v>
      </c>
      <c r="H44" s="395">
        <f>Insumos!D73</f>
        <v>32.51</v>
      </c>
      <c r="I44" s="396"/>
      <c r="J44" s="395">
        <f>ROUND(G44*H44,2)</f>
        <v>65.02</v>
      </c>
      <c r="K44" s="396"/>
      <c r="M44" s="34"/>
      <c r="O44" s="34"/>
    </row>
    <row r="45" spans="1:15" s="35" customFormat="1" ht="18" customHeight="1">
      <c r="A45" s="34"/>
      <c r="B45" s="38"/>
      <c r="C45" s="521" t="s">
        <v>427</v>
      </c>
      <c r="D45" s="521"/>
      <c r="E45" s="521"/>
      <c r="F45" s="521"/>
      <c r="G45" s="51">
        <v>12</v>
      </c>
      <c r="H45" s="395">
        <f>Insumos!D86</f>
        <v>5.2</v>
      </c>
      <c r="I45" s="396"/>
      <c r="J45" s="395">
        <f>ROUND(G45*H45,2)</f>
        <v>62.4</v>
      </c>
      <c r="K45" s="396"/>
      <c r="M45" s="34"/>
      <c r="O45" s="34"/>
    </row>
    <row r="46" spans="1:15" s="35" customFormat="1" ht="15" customHeight="1">
      <c r="A46" s="34"/>
      <c r="B46" s="38"/>
      <c r="C46" s="422" t="s">
        <v>44</v>
      </c>
      <c r="D46" s="423"/>
      <c r="E46" s="423"/>
      <c r="F46" s="423"/>
      <c r="G46" s="423"/>
      <c r="H46" s="423"/>
      <c r="I46" s="424"/>
      <c r="J46" s="425">
        <f>SUM(J32:K45)</f>
        <v>1668.97</v>
      </c>
      <c r="K46" s="426"/>
      <c r="M46" s="34"/>
      <c r="O46" s="34"/>
    </row>
    <row r="47" spans="1:15" s="35" customFormat="1" ht="15" customHeight="1">
      <c r="A47" s="34"/>
      <c r="B47" s="38"/>
      <c r="C47" s="438" t="s">
        <v>47</v>
      </c>
      <c r="D47" s="439"/>
      <c r="E47" s="439"/>
      <c r="F47" s="439"/>
      <c r="G47" s="439"/>
      <c r="H47" s="439"/>
      <c r="I47" s="440"/>
      <c r="J47" s="468">
        <f>ROUND(J46/12,2)</f>
        <v>139.08</v>
      </c>
      <c r="K47" s="469"/>
      <c r="M47" s="34"/>
      <c r="O47" s="34"/>
    </row>
    <row r="48" spans="1:15" s="35" customFormat="1" ht="15" customHeight="1">
      <c r="A48" s="34"/>
      <c r="B48" s="38"/>
      <c r="C48" s="63"/>
      <c r="D48" s="63"/>
      <c r="E48" s="63"/>
      <c r="F48" s="63"/>
      <c r="G48" s="63"/>
      <c r="H48" s="63"/>
      <c r="I48" s="63"/>
      <c r="J48" s="64"/>
      <c r="K48" s="64"/>
      <c r="M48" s="34"/>
      <c r="O48" s="34"/>
    </row>
    <row r="49" spans="1:15" s="35" customFormat="1" ht="15" customHeight="1">
      <c r="A49" s="34"/>
      <c r="B49" s="38"/>
      <c r="C49" s="65" t="s">
        <v>312</v>
      </c>
      <c r="D49" s="66"/>
      <c r="E49" s="67"/>
      <c r="F49" s="66"/>
      <c r="G49" s="67"/>
      <c r="H49" s="66"/>
      <c r="I49" s="68"/>
      <c r="J49" s="69"/>
      <c r="K49" s="70"/>
      <c r="M49" s="34"/>
      <c r="O49" s="34"/>
    </row>
    <row r="50" spans="1:15" s="35" customFormat="1" ht="15" customHeight="1">
      <c r="A50" s="34"/>
      <c r="B50" s="38"/>
      <c r="C50" s="71" t="s">
        <v>11</v>
      </c>
      <c r="D50" s="72"/>
      <c r="E50" s="73">
        <v>1</v>
      </c>
      <c r="F50" s="72" t="s">
        <v>9</v>
      </c>
      <c r="G50" s="74">
        <f>Insumos!D8</f>
        <v>1252.68</v>
      </c>
      <c r="H50" s="72" t="s">
        <v>10</v>
      </c>
      <c r="I50" s="75">
        <f aca="true" t="shared" si="2" ref="I50:I55">ROUND(E50*G50,2)</f>
        <v>1252.68</v>
      </c>
      <c r="K50" s="34"/>
      <c r="M50" s="34"/>
      <c r="O50" s="34"/>
    </row>
    <row r="51" spans="1:15" s="35" customFormat="1" ht="15" customHeight="1">
      <c r="A51" s="34"/>
      <c r="B51" s="38"/>
      <c r="C51" s="71" t="s">
        <v>350</v>
      </c>
      <c r="D51" s="72"/>
      <c r="E51" s="76">
        <v>0.3</v>
      </c>
      <c r="F51" s="72" t="s">
        <v>9</v>
      </c>
      <c r="G51" s="74">
        <f>G50</f>
        <v>1252.68</v>
      </c>
      <c r="H51" s="72" t="s">
        <v>10</v>
      </c>
      <c r="I51" s="75">
        <f t="shared" si="2"/>
        <v>375.8</v>
      </c>
      <c r="J51" s="394"/>
      <c r="K51" s="394"/>
      <c r="M51" s="34"/>
      <c r="O51" s="34"/>
    </row>
    <row r="52" spans="1:15" s="35" customFormat="1" ht="15" customHeight="1">
      <c r="A52" s="34"/>
      <c r="B52" s="38"/>
      <c r="C52" s="71" t="s">
        <v>36</v>
      </c>
      <c r="D52" s="72"/>
      <c r="E52" s="77">
        <v>0</v>
      </c>
      <c r="F52" s="72" t="s">
        <v>9</v>
      </c>
      <c r="G52" s="74">
        <f>ROUND(G50/220*1.5,2)</f>
        <v>8.54</v>
      </c>
      <c r="H52" s="72" t="s">
        <v>10</v>
      </c>
      <c r="I52" s="75">
        <f t="shared" si="2"/>
        <v>0</v>
      </c>
      <c r="K52" s="34"/>
      <c r="M52" s="34"/>
      <c r="O52" s="34"/>
    </row>
    <row r="53" spans="1:15" s="35" customFormat="1" ht="15" customHeight="1" hidden="1">
      <c r="A53" s="34"/>
      <c r="B53" s="38"/>
      <c r="C53" s="71" t="s">
        <v>68</v>
      </c>
      <c r="D53" s="72"/>
      <c r="E53" s="77">
        <v>0</v>
      </c>
      <c r="F53" s="72" t="s">
        <v>9</v>
      </c>
      <c r="G53" s="74">
        <f>ROUND((G50/220)*2,2)</f>
        <v>11.39</v>
      </c>
      <c r="H53" s="72" t="s">
        <v>10</v>
      </c>
      <c r="I53" s="75">
        <f t="shared" si="2"/>
        <v>0</v>
      </c>
      <c r="K53" s="34"/>
      <c r="M53" s="34"/>
      <c r="O53" s="34"/>
    </row>
    <row r="54" spans="1:15" s="35" customFormat="1" ht="15" customHeight="1" hidden="1">
      <c r="A54" s="34"/>
      <c r="B54" s="38"/>
      <c r="C54" s="71" t="s">
        <v>70</v>
      </c>
      <c r="D54" s="72"/>
      <c r="E54" s="77">
        <v>0</v>
      </c>
      <c r="F54" s="72" t="s">
        <v>9</v>
      </c>
      <c r="G54" s="74">
        <f>(G50/220)*0.2</f>
        <v>1.14</v>
      </c>
      <c r="H54" s="72" t="s">
        <v>10</v>
      </c>
      <c r="I54" s="75">
        <f t="shared" si="2"/>
        <v>0</v>
      </c>
      <c r="K54" s="34"/>
      <c r="M54" s="34"/>
      <c r="O54" s="34"/>
    </row>
    <row r="55" spans="1:15" s="35" customFormat="1" ht="15" customHeight="1">
      <c r="A55" s="34"/>
      <c r="B55" s="38"/>
      <c r="C55" s="71" t="s">
        <v>38</v>
      </c>
      <c r="D55" s="72"/>
      <c r="E55" s="78">
        <f>'COMPOSIÇÃO DOS ENCARGOS '!C43</f>
        <v>0.776</v>
      </c>
      <c r="F55" s="72" t="s">
        <v>9</v>
      </c>
      <c r="G55" s="79">
        <f>SUM(I50:I54)</f>
        <v>1628.48</v>
      </c>
      <c r="H55" s="72" t="s">
        <v>10</v>
      </c>
      <c r="I55" s="75">
        <f t="shared" si="2"/>
        <v>1263.7</v>
      </c>
      <c r="J55" s="39"/>
      <c r="K55" s="34"/>
      <c r="M55" s="34"/>
      <c r="O55" s="34"/>
    </row>
    <row r="56" spans="1:15" s="35" customFormat="1" ht="15" customHeight="1">
      <c r="A56" s="34"/>
      <c r="B56" s="38"/>
      <c r="C56" s="80" t="s">
        <v>40</v>
      </c>
      <c r="D56" s="72"/>
      <c r="E56" s="81"/>
      <c r="F56" s="72"/>
      <c r="G56" s="79"/>
      <c r="H56" s="72"/>
      <c r="I56" s="82">
        <f>SUM(I50:I55)</f>
        <v>2892.18</v>
      </c>
      <c r="J56" s="39"/>
      <c r="K56" s="34"/>
      <c r="M56" s="34"/>
      <c r="O56" s="34"/>
    </row>
    <row r="57" spans="1:15" s="35" customFormat="1" ht="15" customHeight="1">
      <c r="A57" s="34"/>
      <c r="B57" s="38"/>
      <c r="C57" s="71" t="s">
        <v>39</v>
      </c>
      <c r="D57" s="72"/>
      <c r="E57" s="73">
        <v>22</v>
      </c>
      <c r="F57" s="72" t="s">
        <v>9</v>
      </c>
      <c r="G57" s="79">
        <f>Insumos!D96</f>
        <v>15.23</v>
      </c>
      <c r="H57" s="72" t="s">
        <v>10</v>
      </c>
      <c r="I57" s="75">
        <f aca="true" t="shared" si="3" ref="I57:I62">ROUND(E57*G57,2)</f>
        <v>335.06</v>
      </c>
      <c r="J57" s="39"/>
      <c r="K57" s="34"/>
      <c r="M57" s="34"/>
      <c r="O57" s="34"/>
    </row>
    <row r="58" spans="1:15" s="35" customFormat="1" ht="15" customHeight="1">
      <c r="A58" s="34"/>
      <c r="B58" s="38"/>
      <c r="C58" s="71" t="s">
        <v>95</v>
      </c>
      <c r="D58" s="72"/>
      <c r="E58" s="73">
        <f>E50</f>
        <v>1</v>
      </c>
      <c r="F58" s="72" t="s">
        <v>9</v>
      </c>
      <c r="G58" s="79">
        <f>Insumos!D92</f>
        <v>215.25</v>
      </c>
      <c r="H58" s="72" t="s">
        <v>10</v>
      </c>
      <c r="I58" s="75">
        <f t="shared" si="3"/>
        <v>215.25</v>
      </c>
      <c r="J58" s="39"/>
      <c r="K58" s="34"/>
      <c r="M58" s="34"/>
      <c r="O58" s="34"/>
    </row>
    <row r="59" spans="1:15" s="35" customFormat="1" ht="15" customHeight="1">
      <c r="A59" s="34"/>
      <c r="B59" s="38"/>
      <c r="C59" s="71" t="s">
        <v>133</v>
      </c>
      <c r="D59" s="72"/>
      <c r="E59" s="73">
        <v>1</v>
      </c>
      <c r="F59" s="72" t="s">
        <v>9</v>
      </c>
      <c r="G59" s="79">
        <f>Insumos!D93</f>
        <v>17.94</v>
      </c>
      <c r="H59" s="72" t="s">
        <v>10</v>
      </c>
      <c r="I59" s="75">
        <f t="shared" si="3"/>
        <v>17.94</v>
      </c>
      <c r="J59" s="83"/>
      <c r="K59" s="34"/>
      <c r="M59" s="34"/>
      <c r="O59" s="34"/>
    </row>
    <row r="60" spans="1:15" s="35" customFormat="1" ht="15" customHeight="1">
      <c r="A60" s="34"/>
      <c r="B60" s="38"/>
      <c r="C60" s="84" t="s">
        <v>177</v>
      </c>
      <c r="D60" s="85"/>
      <c r="E60" s="73">
        <v>1</v>
      </c>
      <c r="F60" s="72" t="s">
        <v>9</v>
      </c>
      <c r="G60" s="79">
        <f>G59</f>
        <v>17.94</v>
      </c>
      <c r="H60" s="72" t="s">
        <v>10</v>
      </c>
      <c r="I60" s="75">
        <f>ROUND(E60*G60,2)</f>
        <v>17.94</v>
      </c>
      <c r="J60" s="83"/>
      <c r="K60" s="34"/>
      <c r="M60" s="34"/>
      <c r="O60" s="34"/>
    </row>
    <row r="61" spans="1:15" s="35" customFormat="1" ht="15" customHeight="1">
      <c r="A61" s="34"/>
      <c r="B61" s="38"/>
      <c r="C61" s="86" t="s">
        <v>171</v>
      </c>
      <c r="D61" s="39"/>
      <c r="E61" s="87">
        <v>1</v>
      </c>
      <c r="F61" s="39" t="s">
        <v>9</v>
      </c>
      <c r="G61" s="88">
        <f>Insumos!D97</f>
        <v>60</v>
      </c>
      <c r="H61" s="39" t="s">
        <v>10</v>
      </c>
      <c r="I61" s="89">
        <f t="shared" si="3"/>
        <v>60</v>
      </c>
      <c r="J61" s="39"/>
      <c r="K61" s="34"/>
      <c r="M61" s="34"/>
      <c r="O61" s="34"/>
    </row>
    <row r="62" spans="1:15" s="35" customFormat="1" ht="15" customHeight="1">
      <c r="A62" s="34"/>
      <c r="B62" s="38"/>
      <c r="C62" s="71" t="s">
        <v>54</v>
      </c>
      <c r="D62" s="72"/>
      <c r="E62" s="73">
        <v>1</v>
      </c>
      <c r="F62" s="72" t="s">
        <v>59</v>
      </c>
      <c r="G62" s="79">
        <f>Insumos!D98</f>
        <v>14</v>
      </c>
      <c r="H62" s="72" t="s">
        <v>10</v>
      </c>
      <c r="I62" s="75">
        <f t="shared" si="3"/>
        <v>14</v>
      </c>
      <c r="J62" s="39"/>
      <c r="K62" s="34"/>
      <c r="M62" s="34"/>
      <c r="O62" s="34"/>
    </row>
    <row r="63" spans="1:15" s="35" customFormat="1" ht="15" customHeight="1">
      <c r="A63" s="34"/>
      <c r="B63" s="38"/>
      <c r="C63" s="84" t="s">
        <v>441</v>
      </c>
      <c r="D63" s="72"/>
      <c r="E63" s="90">
        <f>2*E57</f>
        <v>44</v>
      </c>
      <c r="F63" s="72" t="s">
        <v>9</v>
      </c>
      <c r="G63" s="79">
        <f>Insumos!D95</f>
        <v>3.8</v>
      </c>
      <c r="H63" s="72" t="s">
        <v>10</v>
      </c>
      <c r="I63" s="75">
        <f>IF(G50*6%&lt;E63*G63,ROUND(E63*G63,2)-6%*G50,0)</f>
        <v>92.04</v>
      </c>
      <c r="J63" s="91"/>
      <c r="K63" s="34"/>
      <c r="M63" s="34"/>
      <c r="O63" s="34"/>
    </row>
    <row r="64" spans="1:15" s="35" customFormat="1" ht="15" customHeight="1">
      <c r="A64" s="34"/>
      <c r="B64" s="38"/>
      <c r="C64" s="71" t="s">
        <v>13</v>
      </c>
      <c r="D64" s="72"/>
      <c r="E64" s="92">
        <f>E50</f>
        <v>1</v>
      </c>
      <c r="F64" s="72" t="s">
        <v>9</v>
      </c>
      <c r="G64" s="79">
        <f>J47</f>
        <v>139.08</v>
      </c>
      <c r="H64" s="72" t="s">
        <v>10</v>
      </c>
      <c r="I64" s="75">
        <f>ROUND(E64*G64,2)</f>
        <v>139.08</v>
      </c>
      <c r="J64" s="39"/>
      <c r="K64" s="34"/>
      <c r="M64" s="34"/>
      <c r="O64" s="34"/>
    </row>
    <row r="65" spans="1:15" s="35" customFormat="1" ht="15" customHeight="1">
      <c r="A65" s="34"/>
      <c r="B65" s="38"/>
      <c r="C65" s="80" t="s">
        <v>41</v>
      </c>
      <c r="D65" s="93"/>
      <c r="E65" s="94"/>
      <c r="F65" s="93"/>
      <c r="G65" s="94"/>
      <c r="H65" s="93"/>
      <c r="I65" s="95">
        <f>SUM(I56:I64)</f>
        <v>3783.49</v>
      </c>
      <c r="J65" s="64"/>
      <c r="K65" s="34"/>
      <c r="M65" s="34"/>
      <c r="O65" s="34"/>
    </row>
    <row r="66" spans="1:15" s="35" customFormat="1" ht="15" customHeight="1">
      <c r="A66" s="34"/>
      <c r="B66" s="38"/>
      <c r="C66" s="99"/>
      <c r="D66" s="64"/>
      <c r="E66" s="99"/>
      <c r="F66" s="64"/>
      <c r="G66" s="99"/>
      <c r="H66" s="64"/>
      <c r="I66" s="137"/>
      <c r="J66" s="64"/>
      <c r="K66" s="34"/>
      <c r="M66" s="34"/>
      <c r="O66" s="34"/>
    </row>
    <row r="67" spans="1:15" s="35" customFormat="1" ht="15" customHeight="1">
      <c r="A67" s="34"/>
      <c r="B67" s="38"/>
      <c r="C67" s="65" t="s">
        <v>314</v>
      </c>
      <c r="D67" s="66"/>
      <c r="E67" s="67"/>
      <c r="F67" s="66"/>
      <c r="G67" s="67"/>
      <c r="H67" s="66"/>
      <c r="I67" s="68"/>
      <c r="J67" s="69"/>
      <c r="K67" s="70"/>
      <c r="M67" s="34"/>
      <c r="O67" s="34"/>
    </row>
    <row r="68" spans="1:15" s="35" customFormat="1" ht="15" customHeight="1">
      <c r="A68" s="34"/>
      <c r="B68" s="38"/>
      <c r="C68" s="71" t="s">
        <v>11</v>
      </c>
      <c r="D68" s="72"/>
      <c r="E68" s="73">
        <v>1</v>
      </c>
      <c r="F68" s="72" t="s">
        <v>9</v>
      </c>
      <c r="G68" s="74">
        <f>Insumos!D10</f>
        <v>1920.71</v>
      </c>
      <c r="H68" s="72" t="s">
        <v>10</v>
      </c>
      <c r="I68" s="75">
        <f aca="true" t="shared" si="4" ref="I68:I73">ROUND(E68*G68,2)</f>
        <v>1920.71</v>
      </c>
      <c r="K68" s="34"/>
      <c r="M68" s="34"/>
      <c r="O68" s="34"/>
    </row>
    <row r="69" spans="1:15" s="35" customFormat="1" ht="15" customHeight="1">
      <c r="A69" s="34"/>
      <c r="B69" s="38"/>
      <c r="C69" s="71" t="s">
        <v>2</v>
      </c>
      <c r="D69" s="72"/>
      <c r="E69" s="76">
        <v>0</v>
      </c>
      <c r="F69" s="72" t="s">
        <v>9</v>
      </c>
      <c r="G69" s="74">
        <f>G68</f>
        <v>1920.71</v>
      </c>
      <c r="H69" s="72" t="s">
        <v>10</v>
      </c>
      <c r="I69" s="75">
        <f t="shared" si="4"/>
        <v>0</v>
      </c>
      <c r="J69" s="394"/>
      <c r="K69" s="394"/>
      <c r="M69" s="34"/>
      <c r="O69" s="34"/>
    </row>
    <row r="70" spans="1:15" s="35" customFormat="1" ht="15" customHeight="1">
      <c r="A70" s="34"/>
      <c r="B70" s="38"/>
      <c r="C70" s="71" t="s">
        <v>36</v>
      </c>
      <c r="D70" s="72"/>
      <c r="E70" s="77">
        <v>0</v>
      </c>
      <c r="F70" s="72" t="s">
        <v>9</v>
      </c>
      <c r="G70" s="74">
        <f>ROUND(G68/220*1.5,2)</f>
        <v>13.1</v>
      </c>
      <c r="H70" s="72" t="s">
        <v>10</v>
      </c>
      <c r="I70" s="75">
        <f t="shared" si="4"/>
        <v>0</v>
      </c>
      <c r="K70" s="34"/>
      <c r="M70" s="34"/>
      <c r="O70" s="34"/>
    </row>
    <row r="71" spans="1:15" s="35" customFormat="1" ht="15" customHeight="1" hidden="1">
      <c r="A71" s="34"/>
      <c r="B71" s="38"/>
      <c r="C71" s="71" t="s">
        <v>68</v>
      </c>
      <c r="D71" s="72"/>
      <c r="E71" s="77">
        <v>0</v>
      </c>
      <c r="F71" s="72" t="s">
        <v>9</v>
      </c>
      <c r="G71" s="74">
        <f>ROUND((G68/220)*2,2)</f>
        <v>17.46</v>
      </c>
      <c r="H71" s="72" t="s">
        <v>10</v>
      </c>
      <c r="I71" s="75">
        <f t="shared" si="4"/>
        <v>0</v>
      </c>
      <c r="K71" s="34"/>
      <c r="M71" s="34"/>
      <c r="O71" s="34"/>
    </row>
    <row r="72" spans="1:15" s="35" customFormat="1" ht="15" customHeight="1" hidden="1">
      <c r="A72" s="34"/>
      <c r="B72" s="38"/>
      <c r="C72" s="71" t="s">
        <v>70</v>
      </c>
      <c r="D72" s="72"/>
      <c r="E72" s="77">
        <v>0</v>
      </c>
      <c r="F72" s="72" t="s">
        <v>9</v>
      </c>
      <c r="G72" s="74">
        <f>(G68/220)*0.2</f>
        <v>1.75</v>
      </c>
      <c r="H72" s="72" t="s">
        <v>10</v>
      </c>
      <c r="I72" s="75">
        <f t="shared" si="4"/>
        <v>0</v>
      </c>
      <c r="K72" s="34"/>
      <c r="M72" s="34"/>
      <c r="O72" s="34"/>
    </row>
    <row r="73" spans="1:15" s="35" customFormat="1" ht="15" customHeight="1">
      <c r="A73" s="34"/>
      <c r="B73" s="38"/>
      <c r="C73" s="71" t="s">
        <v>38</v>
      </c>
      <c r="D73" s="72"/>
      <c r="E73" s="78">
        <f>E55</f>
        <v>0.776</v>
      </c>
      <c r="F73" s="72" t="s">
        <v>9</v>
      </c>
      <c r="G73" s="79">
        <f>SUM(I68:I72)</f>
        <v>1920.71</v>
      </c>
      <c r="H73" s="72" t="s">
        <v>10</v>
      </c>
      <c r="I73" s="75">
        <f t="shared" si="4"/>
        <v>1490.47</v>
      </c>
      <c r="J73" s="39"/>
      <c r="K73" s="34"/>
      <c r="M73" s="34"/>
      <c r="O73" s="34"/>
    </row>
    <row r="74" spans="1:15" s="35" customFormat="1" ht="15" customHeight="1">
      <c r="A74" s="34"/>
      <c r="B74" s="38"/>
      <c r="C74" s="80" t="s">
        <v>40</v>
      </c>
      <c r="D74" s="72"/>
      <c r="E74" s="81"/>
      <c r="F74" s="72"/>
      <c r="G74" s="79"/>
      <c r="H74" s="72"/>
      <c r="I74" s="82">
        <f>SUM(I68:I73)</f>
        <v>3411.18</v>
      </c>
      <c r="J74" s="39"/>
      <c r="K74" s="34"/>
      <c r="M74" s="34"/>
      <c r="O74" s="34"/>
    </row>
    <row r="75" spans="1:15" s="35" customFormat="1" ht="15" customHeight="1">
      <c r="A75" s="34"/>
      <c r="B75" s="38"/>
      <c r="C75" s="71" t="s">
        <v>39</v>
      </c>
      <c r="D75" s="72"/>
      <c r="E75" s="73">
        <f>E57</f>
        <v>22</v>
      </c>
      <c r="F75" s="72" t="s">
        <v>9</v>
      </c>
      <c r="G75" s="79">
        <f>G57</f>
        <v>15.23</v>
      </c>
      <c r="H75" s="72" t="s">
        <v>10</v>
      </c>
      <c r="I75" s="75">
        <f aca="true" t="shared" si="5" ref="I75:I80">ROUND(E75*G75,2)</f>
        <v>335.06</v>
      </c>
      <c r="J75" s="39"/>
      <c r="K75" s="34"/>
      <c r="M75" s="34"/>
      <c r="O75" s="34"/>
    </row>
    <row r="76" spans="1:15" s="35" customFormat="1" ht="15" customHeight="1">
      <c r="A76" s="34"/>
      <c r="B76" s="38"/>
      <c r="C76" s="71" t="s">
        <v>95</v>
      </c>
      <c r="D76" s="72"/>
      <c r="E76" s="73">
        <f>E68</f>
        <v>1</v>
      </c>
      <c r="F76" s="72" t="s">
        <v>9</v>
      </c>
      <c r="G76" s="79">
        <f aca="true" t="shared" si="6" ref="G76:G81">G58</f>
        <v>215.25</v>
      </c>
      <c r="H76" s="72" t="s">
        <v>10</v>
      </c>
      <c r="I76" s="75">
        <f t="shared" si="5"/>
        <v>215.25</v>
      </c>
      <c r="J76" s="39"/>
      <c r="K76" s="34"/>
      <c r="M76" s="34"/>
      <c r="O76" s="34"/>
    </row>
    <row r="77" spans="1:15" s="35" customFormat="1" ht="15" customHeight="1">
      <c r="A77" s="34"/>
      <c r="B77" s="38"/>
      <c r="C77" s="71" t="s">
        <v>133</v>
      </c>
      <c r="D77" s="72"/>
      <c r="E77" s="73">
        <v>1</v>
      </c>
      <c r="F77" s="72" t="s">
        <v>9</v>
      </c>
      <c r="G77" s="79">
        <f t="shared" si="6"/>
        <v>17.94</v>
      </c>
      <c r="H77" s="72" t="s">
        <v>10</v>
      </c>
      <c r="I77" s="75">
        <f t="shared" si="5"/>
        <v>17.94</v>
      </c>
      <c r="J77" s="83"/>
      <c r="K77" s="34"/>
      <c r="M77" s="34"/>
      <c r="O77" s="34"/>
    </row>
    <row r="78" spans="1:15" s="35" customFormat="1" ht="15" customHeight="1">
      <c r="A78" s="34"/>
      <c r="B78" s="38"/>
      <c r="C78" s="84" t="s">
        <v>177</v>
      </c>
      <c r="D78" s="85"/>
      <c r="E78" s="73">
        <v>1</v>
      </c>
      <c r="F78" s="72" t="s">
        <v>9</v>
      </c>
      <c r="G78" s="79">
        <f t="shared" si="6"/>
        <v>17.94</v>
      </c>
      <c r="H78" s="72" t="s">
        <v>10</v>
      </c>
      <c r="I78" s="75">
        <f t="shared" si="5"/>
        <v>17.94</v>
      </c>
      <c r="J78" s="83"/>
      <c r="K78" s="34"/>
      <c r="M78" s="34"/>
      <c r="O78" s="34"/>
    </row>
    <row r="79" spans="1:15" s="35" customFormat="1" ht="15" customHeight="1">
      <c r="A79" s="34"/>
      <c r="B79" s="38"/>
      <c r="C79" s="86" t="s">
        <v>171</v>
      </c>
      <c r="D79" s="39"/>
      <c r="E79" s="87">
        <v>1</v>
      </c>
      <c r="F79" s="39" t="s">
        <v>9</v>
      </c>
      <c r="G79" s="79">
        <f t="shared" si="6"/>
        <v>60</v>
      </c>
      <c r="H79" s="39" t="s">
        <v>10</v>
      </c>
      <c r="I79" s="89">
        <f t="shared" si="5"/>
        <v>60</v>
      </c>
      <c r="J79" s="39"/>
      <c r="K79" s="34"/>
      <c r="M79" s="34"/>
      <c r="O79" s="34"/>
    </row>
    <row r="80" spans="1:15" s="35" customFormat="1" ht="15" customHeight="1">
      <c r="A80" s="34"/>
      <c r="B80" s="38"/>
      <c r="C80" s="71" t="s">
        <v>54</v>
      </c>
      <c r="D80" s="72"/>
      <c r="E80" s="73">
        <v>1</v>
      </c>
      <c r="F80" s="72" t="s">
        <v>59</v>
      </c>
      <c r="G80" s="79">
        <f t="shared" si="6"/>
        <v>14</v>
      </c>
      <c r="H80" s="72" t="s">
        <v>10</v>
      </c>
      <c r="I80" s="75">
        <f t="shared" si="5"/>
        <v>14</v>
      </c>
      <c r="J80" s="39"/>
      <c r="K80" s="34"/>
      <c r="M80" s="34"/>
      <c r="O80" s="34"/>
    </row>
    <row r="81" spans="1:15" s="35" customFormat="1" ht="15" customHeight="1">
      <c r="A81" s="34"/>
      <c r="B81" s="38"/>
      <c r="C81" s="84" t="s">
        <v>441</v>
      </c>
      <c r="D81" s="72"/>
      <c r="E81" s="90">
        <f>2*E75</f>
        <v>44</v>
      </c>
      <c r="F81" s="72" t="s">
        <v>9</v>
      </c>
      <c r="G81" s="79">
        <f t="shared" si="6"/>
        <v>3.8</v>
      </c>
      <c r="H81" s="72" t="s">
        <v>10</v>
      </c>
      <c r="I81" s="75">
        <f>IF(G68*6%&lt;E81*G81,ROUND(E81*G81,2)-6%*G68,0)</f>
        <v>51.96</v>
      </c>
      <c r="J81" s="91"/>
      <c r="K81" s="34"/>
      <c r="M81" s="34"/>
      <c r="O81" s="34"/>
    </row>
    <row r="82" spans="1:15" s="35" customFormat="1" ht="15" customHeight="1">
      <c r="A82" s="34"/>
      <c r="B82" s="38"/>
      <c r="C82" s="71" t="s">
        <v>13</v>
      </c>
      <c r="D82" s="72"/>
      <c r="E82" s="92">
        <f>E68</f>
        <v>1</v>
      </c>
      <c r="F82" s="72" t="s">
        <v>9</v>
      </c>
      <c r="G82" s="79">
        <f>J28</f>
        <v>107.92</v>
      </c>
      <c r="H82" s="72" t="s">
        <v>10</v>
      </c>
      <c r="I82" s="75">
        <f>ROUND(E82*G82,2)</f>
        <v>107.92</v>
      </c>
      <c r="J82" s="39"/>
      <c r="K82" s="34"/>
      <c r="M82" s="34"/>
      <c r="O82" s="34"/>
    </row>
    <row r="83" spans="1:15" s="35" customFormat="1" ht="15" customHeight="1">
      <c r="A83" s="34"/>
      <c r="B83" s="38"/>
      <c r="C83" s="80" t="s">
        <v>41</v>
      </c>
      <c r="D83" s="93"/>
      <c r="E83" s="94"/>
      <c r="F83" s="93"/>
      <c r="G83" s="94"/>
      <c r="H83" s="93"/>
      <c r="I83" s="95">
        <f>SUM(I74:I82)</f>
        <v>4231.25</v>
      </c>
      <c r="J83" s="64"/>
      <c r="K83" s="34"/>
      <c r="M83" s="34"/>
      <c r="O83" s="34"/>
    </row>
    <row r="84" spans="1:15" s="35" customFormat="1" ht="15" customHeight="1">
      <c r="A84" s="34"/>
      <c r="B84" s="38"/>
      <c r="C84" s="99"/>
      <c r="D84" s="64"/>
      <c r="E84" s="99"/>
      <c r="F84" s="64"/>
      <c r="G84" s="99"/>
      <c r="H84" s="64"/>
      <c r="I84" s="137"/>
      <c r="J84" s="64"/>
      <c r="K84" s="34"/>
      <c r="M84" s="34"/>
      <c r="O84" s="34"/>
    </row>
    <row r="85" spans="1:15" s="35" customFormat="1" ht="15" customHeight="1">
      <c r="A85" s="34"/>
      <c r="B85" s="38"/>
      <c r="C85" s="65" t="s">
        <v>315</v>
      </c>
      <c r="D85" s="66"/>
      <c r="E85" s="67"/>
      <c r="F85" s="66"/>
      <c r="G85" s="67"/>
      <c r="H85" s="66"/>
      <c r="I85" s="68"/>
      <c r="J85" s="69"/>
      <c r="K85" s="70"/>
      <c r="M85" s="34"/>
      <c r="O85" s="34"/>
    </row>
    <row r="86" spans="1:15" s="35" customFormat="1" ht="15" customHeight="1">
      <c r="A86" s="34"/>
      <c r="B86" s="38"/>
      <c r="C86" s="71" t="s">
        <v>11</v>
      </c>
      <c r="D86" s="72"/>
      <c r="E86" s="73">
        <v>1</v>
      </c>
      <c r="F86" s="72" t="s">
        <v>9</v>
      </c>
      <c r="G86" s="74">
        <f>Insumos!D11</f>
        <v>1252.68</v>
      </c>
      <c r="H86" s="72" t="s">
        <v>10</v>
      </c>
      <c r="I86" s="75">
        <f aca="true" t="shared" si="7" ref="I86:I91">ROUND(E86*G86,2)</f>
        <v>1252.68</v>
      </c>
      <c r="K86" s="34"/>
      <c r="M86" s="34"/>
      <c r="O86" s="34"/>
    </row>
    <row r="87" spans="1:15" s="35" customFormat="1" ht="15" customHeight="1">
      <c r="A87" s="34"/>
      <c r="B87" s="38"/>
      <c r="C87" s="71" t="s">
        <v>2</v>
      </c>
      <c r="D87" s="72"/>
      <c r="E87" s="76">
        <v>0</v>
      </c>
      <c r="F87" s="72" t="s">
        <v>9</v>
      </c>
      <c r="G87" s="74">
        <f>G86</f>
        <v>1252.68</v>
      </c>
      <c r="H87" s="72" t="s">
        <v>10</v>
      </c>
      <c r="I87" s="75">
        <f t="shared" si="7"/>
        <v>0</v>
      </c>
      <c r="J87" s="394"/>
      <c r="K87" s="394"/>
      <c r="M87" s="34"/>
      <c r="O87" s="34"/>
    </row>
    <row r="88" spans="1:15" s="35" customFormat="1" ht="15" customHeight="1">
      <c r="A88" s="34"/>
      <c r="B88" s="38"/>
      <c r="C88" s="71" t="s">
        <v>36</v>
      </c>
      <c r="D88" s="72"/>
      <c r="E88" s="77">
        <v>0</v>
      </c>
      <c r="F88" s="72" t="s">
        <v>9</v>
      </c>
      <c r="G88" s="74">
        <f>ROUND(G86/220*1.5,2)</f>
        <v>8.54</v>
      </c>
      <c r="H88" s="72" t="s">
        <v>10</v>
      </c>
      <c r="I88" s="75">
        <f t="shared" si="7"/>
        <v>0</v>
      </c>
      <c r="K88" s="34"/>
      <c r="M88" s="34"/>
      <c r="O88" s="34"/>
    </row>
    <row r="89" spans="1:15" s="35" customFormat="1" ht="15" customHeight="1" hidden="1">
      <c r="A89" s="34"/>
      <c r="B89" s="38"/>
      <c r="C89" s="71" t="s">
        <v>68</v>
      </c>
      <c r="D89" s="72"/>
      <c r="E89" s="77">
        <v>0</v>
      </c>
      <c r="F89" s="72" t="s">
        <v>9</v>
      </c>
      <c r="G89" s="74">
        <f>ROUND((G86/220)*2,2)</f>
        <v>11.39</v>
      </c>
      <c r="H89" s="72" t="s">
        <v>10</v>
      </c>
      <c r="I89" s="75">
        <f t="shared" si="7"/>
        <v>0</v>
      </c>
      <c r="K89" s="34"/>
      <c r="M89" s="34"/>
      <c r="O89" s="34"/>
    </row>
    <row r="90" spans="1:15" s="35" customFormat="1" ht="15" customHeight="1" hidden="1">
      <c r="A90" s="34"/>
      <c r="B90" s="38"/>
      <c r="C90" s="71" t="s">
        <v>70</v>
      </c>
      <c r="D90" s="72"/>
      <c r="E90" s="77">
        <v>0</v>
      </c>
      <c r="F90" s="72" t="s">
        <v>9</v>
      </c>
      <c r="G90" s="74">
        <f>(G86/220)*0.2</f>
        <v>1.14</v>
      </c>
      <c r="H90" s="72" t="s">
        <v>10</v>
      </c>
      <c r="I90" s="75">
        <f t="shared" si="7"/>
        <v>0</v>
      </c>
      <c r="K90" s="34"/>
      <c r="M90" s="34"/>
      <c r="O90" s="34"/>
    </row>
    <row r="91" spans="1:15" s="35" customFormat="1" ht="15" customHeight="1">
      <c r="A91" s="34"/>
      <c r="B91" s="38"/>
      <c r="C91" s="71" t="s">
        <v>38</v>
      </c>
      <c r="D91" s="72"/>
      <c r="E91" s="78">
        <f>E73</f>
        <v>0.776</v>
      </c>
      <c r="F91" s="72" t="s">
        <v>9</v>
      </c>
      <c r="G91" s="79">
        <f>SUM(I86:I90)</f>
        <v>1252.68</v>
      </c>
      <c r="H91" s="72" t="s">
        <v>10</v>
      </c>
      <c r="I91" s="75">
        <f t="shared" si="7"/>
        <v>972.08</v>
      </c>
      <c r="J91" s="39"/>
      <c r="K91" s="34"/>
      <c r="M91" s="34"/>
      <c r="O91" s="34"/>
    </row>
    <row r="92" spans="1:15" s="35" customFormat="1" ht="15" customHeight="1">
      <c r="A92" s="34"/>
      <c r="B92" s="38"/>
      <c r="C92" s="80" t="s">
        <v>40</v>
      </c>
      <c r="D92" s="72"/>
      <c r="E92" s="81"/>
      <c r="F92" s="72"/>
      <c r="G92" s="79"/>
      <c r="H92" s="72"/>
      <c r="I92" s="82">
        <f>SUM(I86:I91)</f>
        <v>2224.76</v>
      </c>
      <c r="J92" s="39"/>
      <c r="K92" s="34"/>
      <c r="M92" s="34"/>
      <c r="O92" s="34"/>
    </row>
    <row r="93" spans="1:15" s="35" customFormat="1" ht="15" customHeight="1">
      <c r="A93" s="34"/>
      <c r="B93" s="38"/>
      <c r="C93" s="71" t="s">
        <v>39</v>
      </c>
      <c r="D93" s="72"/>
      <c r="E93" s="73">
        <f>E75</f>
        <v>22</v>
      </c>
      <c r="F93" s="72" t="s">
        <v>9</v>
      </c>
      <c r="G93" s="79">
        <f>G75</f>
        <v>15.23</v>
      </c>
      <c r="H93" s="72" t="s">
        <v>10</v>
      </c>
      <c r="I93" s="75">
        <f aca="true" t="shared" si="8" ref="I93:I98">ROUND(E93*G93,2)</f>
        <v>335.06</v>
      </c>
      <c r="J93" s="39"/>
      <c r="K93" s="34"/>
      <c r="M93" s="34"/>
      <c r="O93" s="34"/>
    </row>
    <row r="94" spans="1:15" s="35" customFormat="1" ht="15" customHeight="1">
      <c r="A94" s="34"/>
      <c r="B94" s="38"/>
      <c r="C94" s="71" t="s">
        <v>95</v>
      </c>
      <c r="D94" s="72"/>
      <c r="E94" s="73">
        <f>E86</f>
        <v>1</v>
      </c>
      <c r="F94" s="72" t="s">
        <v>9</v>
      </c>
      <c r="G94" s="79">
        <f aca="true" t="shared" si="9" ref="G94:G100">G76</f>
        <v>215.25</v>
      </c>
      <c r="H94" s="72" t="s">
        <v>10</v>
      </c>
      <c r="I94" s="75">
        <f t="shared" si="8"/>
        <v>215.25</v>
      </c>
      <c r="J94" s="39"/>
      <c r="K94" s="34"/>
      <c r="M94" s="34"/>
      <c r="O94" s="34"/>
    </row>
    <row r="95" spans="1:15" s="35" customFormat="1" ht="15" customHeight="1">
      <c r="A95" s="34"/>
      <c r="B95" s="38"/>
      <c r="C95" s="71" t="s">
        <v>133</v>
      </c>
      <c r="D95" s="72"/>
      <c r="E95" s="73">
        <v>1</v>
      </c>
      <c r="F95" s="72" t="s">
        <v>9</v>
      </c>
      <c r="G95" s="79">
        <f t="shared" si="9"/>
        <v>17.94</v>
      </c>
      <c r="H95" s="72" t="s">
        <v>10</v>
      </c>
      <c r="I95" s="75">
        <f t="shared" si="8"/>
        <v>17.94</v>
      </c>
      <c r="J95" s="83"/>
      <c r="K95" s="34"/>
      <c r="M95" s="34"/>
      <c r="O95" s="34"/>
    </row>
    <row r="96" spans="1:15" s="35" customFormat="1" ht="15" customHeight="1">
      <c r="A96" s="34"/>
      <c r="B96" s="38"/>
      <c r="C96" s="84" t="s">
        <v>177</v>
      </c>
      <c r="D96" s="85"/>
      <c r="E96" s="73">
        <v>1</v>
      </c>
      <c r="F96" s="72" t="s">
        <v>9</v>
      </c>
      <c r="G96" s="79">
        <f t="shared" si="9"/>
        <v>17.94</v>
      </c>
      <c r="H96" s="72" t="s">
        <v>10</v>
      </c>
      <c r="I96" s="75">
        <f t="shared" si="8"/>
        <v>17.94</v>
      </c>
      <c r="J96" s="83"/>
      <c r="K96" s="34"/>
      <c r="M96" s="34"/>
      <c r="O96" s="34"/>
    </row>
    <row r="97" spans="1:15" s="35" customFormat="1" ht="15" customHeight="1">
      <c r="A97" s="34"/>
      <c r="B97" s="38"/>
      <c r="C97" s="86" t="s">
        <v>171</v>
      </c>
      <c r="D97" s="39"/>
      <c r="E97" s="87">
        <v>1</v>
      </c>
      <c r="F97" s="39" t="s">
        <v>9</v>
      </c>
      <c r="G97" s="79">
        <f t="shared" si="9"/>
        <v>60</v>
      </c>
      <c r="H97" s="39" t="s">
        <v>10</v>
      </c>
      <c r="I97" s="89">
        <f t="shared" si="8"/>
        <v>60</v>
      </c>
      <c r="J97" s="39"/>
      <c r="K97" s="34"/>
      <c r="M97" s="34"/>
      <c r="O97" s="34"/>
    </row>
    <row r="98" spans="1:15" s="35" customFormat="1" ht="15" customHeight="1">
      <c r="A98" s="34"/>
      <c r="B98" s="38"/>
      <c r="C98" s="71" t="s">
        <v>54</v>
      </c>
      <c r="D98" s="72"/>
      <c r="E98" s="73">
        <v>1</v>
      </c>
      <c r="F98" s="72" t="s">
        <v>59</v>
      </c>
      <c r="G98" s="79">
        <f t="shared" si="9"/>
        <v>14</v>
      </c>
      <c r="H98" s="72" t="s">
        <v>10</v>
      </c>
      <c r="I98" s="75">
        <f t="shared" si="8"/>
        <v>14</v>
      </c>
      <c r="J98" s="39"/>
      <c r="K98" s="34"/>
      <c r="M98" s="34"/>
      <c r="O98" s="34"/>
    </row>
    <row r="99" spans="1:15" s="35" customFormat="1" ht="15" customHeight="1">
      <c r="A99" s="34"/>
      <c r="B99" s="38"/>
      <c r="C99" s="84" t="s">
        <v>441</v>
      </c>
      <c r="D99" s="72"/>
      <c r="E99" s="90">
        <f>2*E93</f>
        <v>44</v>
      </c>
      <c r="F99" s="72" t="s">
        <v>9</v>
      </c>
      <c r="G99" s="79">
        <f t="shared" si="9"/>
        <v>3.8</v>
      </c>
      <c r="H99" s="72" t="s">
        <v>10</v>
      </c>
      <c r="I99" s="75">
        <f>IF(G86*6%&lt;E99*G99,ROUND(E99*G99,2)-6%*G86,0)</f>
        <v>92.04</v>
      </c>
      <c r="J99" s="91"/>
      <c r="K99" s="34"/>
      <c r="M99" s="34"/>
      <c r="O99" s="34"/>
    </row>
    <row r="100" spans="1:15" s="35" customFormat="1" ht="15" customHeight="1">
      <c r="A100" s="34"/>
      <c r="B100" s="38"/>
      <c r="C100" s="71" t="s">
        <v>13</v>
      </c>
      <c r="D100" s="72"/>
      <c r="E100" s="92">
        <f>E86</f>
        <v>1</v>
      </c>
      <c r="F100" s="72" t="s">
        <v>9</v>
      </c>
      <c r="G100" s="79">
        <f t="shared" si="9"/>
        <v>107.92</v>
      </c>
      <c r="H100" s="72" t="s">
        <v>10</v>
      </c>
      <c r="I100" s="75">
        <f>ROUND(E100*G100,2)</f>
        <v>107.92</v>
      </c>
      <c r="J100" s="39"/>
      <c r="K100" s="34"/>
      <c r="M100" s="34"/>
      <c r="O100" s="34"/>
    </row>
    <row r="101" spans="1:15" s="35" customFormat="1" ht="15" customHeight="1">
      <c r="A101" s="34"/>
      <c r="B101" s="38"/>
      <c r="C101" s="80" t="s">
        <v>41</v>
      </c>
      <c r="D101" s="93"/>
      <c r="E101" s="94"/>
      <c r="F101" s="93"/>
      <c r="G101" s="94"/>
      <c r="H101" s="93"/>
      <c r="I101" s="95">
        <f>SUM(I92:I100)</f>
        <v>3084.91</v>
      </c>
      <c r="J101" s="64"/>
      <c r="K101" s="34"/>
      <c r="M101" s="34"/>
      <c r="O101" s="34"/>
    </row>
    <row r="102" spans="1:15" s="35" customFormat="1" ht="15" customHeight="1">
      <c r="A102" s="34"/>
      <c r="B102" s="38"/>
      <c r="C102" s="99"/>
      <c r="D102" s="64"/>
      <c r="E102" s="99"/>
      <c r="F102" s="64"/>
      <c r="G102" s="99"/>
      <c r="H102" s="64"/>
      <c r="I102" s="137"/>
      <c r="J102" s="64"/>
      <c r="K102" s="34"/>
      <c r="M102" s="34"/>
      <c r="O102" s="34"/>
    </row>
    <row r="103" spans="1:15" s="35" customFormat="1" ht="15" customHeight="1">
      <c r="A103" s="34"/>
      <c r="B103" s="38"/>
      <c r="C103" s="65" t="s">
        <v>155</v>
      </c>
      <c r="D103" s="66"/>
      <c r="E103" s="67"/>
      <c r="F103" s="66"/>
      <c r="G103" s="67"/>
      <c r="H103" s="66"/>
      <c r="I103" s="68"/>
      <c r="K103" s="34"/>
      <c r="M103" s="34"/>
      <c r="O103" s="34"/>
    </row>
    <row r="104" spans="1:15" s="35" customFormat="1" ht="15" customHeight="1">
      <c r="A104" s="34"/>
      <c r="B104" s="38"/>
      <c r="C104" s="71" t="s">
        <v>11</v>
      </c>
      <c r="D104" s="72"/>
      <c r="E104" s="73">
        <v>1</v>
      </c>
      <c r="F104" s="72" t="s">
        <v>9</v>
      </c>
      <c r="G104" s="74">
        <f>Insumos!D7</f>
        <v>1252.68</v>
      </c>
      <c r="H104" s="72" t="s">
        <v>10</v>
      </c>
      <c r="I104" s="75">
        <f aca="true" t="shared" si="10" ref="I104:I109">ROUND(E104*G104,2)</f>
        <v>1252.68</v>
      </c>
      <c r="K104" s="34"/>
      <c r="M104" s="34"/>
      <c r="O104" s="34"/>
    </row>
    <row r="105" spans="1:15" s="35" customFormat="1" ht="15" customHeight="1">
      <c r="A105" s="34"/>
      <c r="B105" s="38"/>
      <c r="C105" s="71" t="s">
        <v>2</v>
      </c>
      <c r="D105" s="72"/>
      <c r="E105" s="76">
        <v>0</v>
      </c>
      <c r="F105" s="72" t="s">
        <v>9</v>
      </c>
      <c r="G105" s="74">
        <f>G51</f>
        <v>1252.68</v>
      </c>
      <c r="H105" s="72" t="s">
        <v>10</v>
      </c>
      <c r="I105" s="75">
        <f t="shared" si="10"/>
        <v>0</v>
      </c>
      <c r="J105" s="394"/>
      <c r="K105" s="394"/>
      <c r="M105" s="34"/>
      <c r="O105" s="34"/>
    </row>
    <row r="106" spans="1:15" s="35" customFormat="1" ht="15" customHeight="1">
      <c r="A106" s="34"/>
      <c r="B106" s="38"/>
      <c r="C106" s="71" t="s">
        <v>36</v>
      </c>
      <c r="D106" s="72"/>
      <c r="E106" s="77">
        <v>0</v>
      </c>
      <c r="F106" s="72" t="s">
        <v>9</v>
      </c>
      <c r="G106" s="74">
        <f>ROUND(G104/220*1.5,2)</f>
        <v>8.54</v>
      </c>
      <c r="H106" s="72" t="s">
        <v>10</v>
      </c>
      <c r="I106" s="75">
        <f t="shared" si="10"/>
        <v>0</v>
      </c>
      <c r="K106" s="34"/>
      <c r="M106" s="34"/>
      <c r="O106" s="34"/>
    </row>
    <row r="107" spans="1:15" s="35" customFormat="1" ht="15" customHeight="1" hidden="1">
      <c r="A107" s="34"/>
      <c r="B107" s="38"/>
      <c r="C107" s="71" t="s">
        <v>68</v>
      </c>
      <c r="D107" s="72"/>
      <c r="E107" s="77">
        <v>0</v>
      </c>
      <c r="F107" s="72" t="s">
        <v>9</v>
      </c>
      <c r="G107" s="74">
        <f>ROUND((G104/220)*2,2)</f>
        <v>11.39</v>
      </c>
      <c r="H107" s="72" t="s">
        <v>10</v>
      </c>
      <c r="I107" s="75">
        <f t="shared" si="10"/>
        <v>0</v>
      </c>
      <c r="K107" s="34"/>
      <c r="M107" s="34"/>
      <c r="O107" s="34"/>
    </row>
    <row r="108" spans="1:15" s="35" customFormat="1" ht="15" customHeight="1" hidden="1">
      <c r="A108" s="34"/>
      <c r="B108" s="38"/>
      <c r="C108" s="71" t="s">
        <v>70</v>
      </c>
      <c r="D108" s="72"/>
      <c r="E108" s="77">
        <v>0</v>
      </c>
      <c r="F108" s="72" t="s">
        <v>9</v>
      </c>
      <c r="G108" s="74">
        <f>(G104/220)*0.2</f>
        <v>1.14</v>
      </c>
      <c r="H108" s="72" t="s">
        <v>10</v>
      </c>
      <c r="I108" s="75">
        <f t="shared" si="10"/>
        <v>0</v>
      </c>
      <c r="K108" s="34"/>
      <c r="M108" s="34"/>
      <c r="O108" s="34"/>
    </row>
    <row r="109" spans="1:15" s="35" customFormat="1" ht="15" customHeight="1">
      <c r="A109" s="34"/>
      <c r="B109" s="38"/>
      <c r="C109" s="71" t="s">
        <v>38</v>
      </c>
      <c r="D109" s="72"/>
      <c r="E109" s="78">
        <f>E55</f>
        <v>0.776</v>
      </c>
      <c r="F109" s="72" t="s">
        <v>9</v>
      </c>
      <c r="G109" s="79">
        <f>SUM(I104:I108)</f>
        <v>1252.68</v>
      </c>
      <c r="H109" s="72" t="s">
        <v>10</v>
      </c>
      <c r="I109" s="75">
        <f t="shared" si="10"/>
        <v>972.08</v>
      </c>
      <c r="J109" s="39"/>
      <c r="K109" s="34"/>
      <c r="M109" s="34"/>
      <c r="O109" s="34"/>
    </row>
    <row r="110" spans="1:15" s="35" customFormat="1" ht="15" customHeight="1">
      <c r="A110" s="34"/>
      <c r="B110" s="38"/>
      <c r="C110" s="80" t="s">
        <v>40</v>
      </c>
      <c r="D110" s="72"/>
      <c r="E110" s="81"/>
      <c r="F110" s="72"/>
      <c r="G110" s="79"/>
      <c r="H110" s="72"/>
      <c r="I110" s="82">
        <f>SUM(I104:I109)</f>
        <v>2224.76</v>
      </c>
      <c r="J110" s="39"/>
      <c r="K110" s="34"/>
      <c r="M110" s="34"/>
      <c r="O110" s="34"/>
    </row>
    <row r="111" spans="1:15" s="35" customFormat="1" ht="15" customHeight="1">
      <c r="A111" s="34"/>
      <c r="B111" s="38"/>
      <c r="C111" s="71" t="s">
        <v>39</v>
      </c>
      <c r="D111" s="72"/>
      <c r="E111" s="73">
        <f>E57</f>
        <v>22</v>
      </c>
      <c r="F111" s="72" t="s">
        <v>9</v>
      </c>
      <c r="G111" s="79">
        <f>G57</f>
        <v>15.23</v>
      </c>
      <c r="H111" s="72" t="s">
        <v>10</v>
      </c>
      <c r="I111" s="75">
        <f aca="true" t="shared" si="11" ref="I111:I116">ROUND(E111*G111,2)</f>
        <v>335.06</v>
      </c>
      <c r="J111" s="39"/>
      <c r="K111" s="34"/>
      <c r="M111" s="34"/>
      <c r="O111" s="34"/>
    </row>
    <row r="112" spans="1:15" s="35" customFormat="1" ht="15" customHeight="1">
      <c r="A112" s="34"/>
      <c r="B112" s="38"/>
      <c r="C112" s="71" t="s">
        <v>95</v>
      </c>
      <c r="D112" s="72"/>
      <c r="E112" s="73">
        <f>E104</f>
        <v>1</v>
      </c>
      <c r="F112" s="72" t="s">
        <v>9</v>
      </c>
      <c r="G112" s="79">
        <f>G58</f>
        <v>215.25</v>
      </c>
      <c r="H112" s="72" t="s">
        <v>10</v>
      </c>
      <c r="I112" s="75">
        <f t="shared" si="11"/>
        <v>215.25</v>
      </c>
      <c r="J112" s="39"/>
      <c r="K112" s="34"/>
      <c r="M112" s="34"/>
      <c r="O112" s="34"/>
    </row>
    <row r="113" spans="1:15" s="35" customFormat="1" ht="15" customHeight="1">
      <c r="A113" s="34"/>
      <c r="B113" s="38"/>
      <c r="C113" s="71" t="s">
        <v>133</v>
      </c>
      <c r="D113" s="72"/>
      <c r="E113" s="73">
        <v>1</v>
      </c>
      <c r="F113" s="72" t="s">
        <v>9</v>
      </c>
      <c r="G113" s="79">
        <f>G59</f>
        <v>17.94</v>
      </c>
      <c r="H113" s="72" t="s">
        <v>10</v>
      </c>
      <c r="I113" s="75">
        <f t="shared" si="11"/>
        <v>17.94</v>
      </c>
      <c r="J113" s="83"/>
      <c r="K113" s="34"/>
      <c r="M113" s="34"/>
      <c r="O113" s="34"/>
    </row>
    <row r="114" spans="1:15" s="35" customFormat="1" ht="15" customHeight="1">
      <c r="A114" s="34"/>
      <c r="B114" s="38"/>
      <c r="C114" s="86" t="str">
        <f>C60</f>
        <v>Gratificação de Férias (1/12)</v>
      </c>
      <c r="D114" s="72"/>
      <c r="E114" s="73">
        <f>E104</f>
        <v>1</v>
      </c>
      <c r="F114" s="72" t="s">
        <v>9</v>
      </c>
      <c r="G114" s="79">
        <f>G113</f>
        <v>17.94</v>
      </c>
      <c r="H114" s="72" t="s">
        <v>10</v>
      </c>
      <c r="I114" s="75">
        <f t="shared" si="11"/>
        <v>17.94</v>
      </c>
      <c r="J114" s="39"/>
      <c r="K114" s="34"/>
      <c r="M114" s="34"/>
      <c r="O114" s="34"/>
    </row>
    <row r="115" spans="1:15" s="35" customFormat="1" ht="15" customHeight="1">
      <c r="A115" s="34"/>
      <c r="B115" s="38"/>
      <c r="C115" s="97" t="str">
        <f>C61</f>
        <v>Ass. Médica (Ambulatorial)</v>
      </c>
      <c r="D115" s="72"/>
      <c r="E115" s="73">
        <v>1</v>
      </c>
      <c r="F115" s="72" t="s">
        <v>9</v>
      </c>
      <c r="G115" s="79">
        <f>G61</f>
        <v>60</v>
      </c>
      <c r="H115" s="72" t="s">
        <v>10</v>
      </c>
      <c r="I115" s="75">
        <f t="shared" si="11"/>
        <v>60</v>
      </c>
      <c r="J115" s="39"/>
      <c r="K115" s="34"/>
      <c r="M115" s="34"/>
      <c r="O115" s="34"/>
    </row>
    <row r="116" spans="1:15" s="35" customFormat="1" ht="15" customHeight="1">
      <c r="A116" s="34"/>
      <c r="B116" s="38"/>
      <c r="C116" s="71" t="s">
        <v>54</v>
      </c>
      <c r="D116" s="72"/>
      <c r="E116" s="73">
        <v>1</v>
      </c>
      <c r="F116" s="72" t="s">
        <v>59</v>
      </c>
      <c r="G116" s="79">
        <f>G62</f>
        <v>14</v>
      </c>
      <c r="H116" s="72" t="s">
        <v>10</v>
      </c>
      <c r="I116" s="75">
        <f t="shared" si="11"/>
        <v>14</v>
      </c>
      <c r="J116" s="39"/>
      <c r="K116" s="34"/>
      <c r="M116" s="34"/>
      <c r="O116" s="34"/>
    </row>
    <row r="117" spans="1:15" s="35" customFormat="1" ht="15" customHeight="1">
      <c r="A117" s="34"/>
      <c r="B117" s="38"/>
      <c r="C117" s="84" t="s">
        <v>441</v>
      </c>
      <c r="D117" s="72"/>
      <c r="E117" s="90">
        <f>E63</f>
        <v>44</v>
      </c>
      <c r="F117" s="72" t="s">
        <v>9</v>
      </c>
      <c r="G117" s="79">
        <f>G63</f>
        <v>3.8</v>
      </c>
      <c r="H117" s="72" t="s">
        <v>10</v>
      </c>
      <c r="I117" s="75">
        <f>IF(G104*6%&lt;E117*G117,ROUND(E117*G117,2)-6%*G104,0)</f>
        <v>92.04</v>
      </c>
      <c r="J117" s="91"/>
      <c r="K117" s="34"/>
      <c r="M117" s="34"/>
      <c r="O117" s="34"/>
    </row>
    <row r="118" spans="1:15" s="35" customFormat="1" ht="15" customHeight="1">
      <c r="A118" s="34"/>
      <c r="B118" s="38"/>
      <c r="C118" s="71" t="s">
        <v>13</v>
      </c>
      <c r="D118" s="72"/>
      <c r="E118" s="181">
        <f>E64</f>
        <v>1</v>
      </c>
      <c r="F118" s="72" t="s">
        <v>9</v>
      </c>
      <c r="G118" s="79">
        <f>J28</f>
        <v>107.92</v>
      </c>
      <c r="H118" s="72" t="s">
        <v>10</v>
      </c>
      <c r="I118" s="75">
        <f>ROUND(E118*G118,2)</f>
        <v>107.92</v>
      </c>
      <c r="J118" s="39"/>
      <c r="K118" s="34"/>
      <c r="M118" s="34"/>
      <c r="O118" s="34"/>
    </row>
    <row r="119" spans="1:15" s="35" customFormat="1" ht="15" customHeight="1">
      <c r="A119" s="34"/>
      <c r="B119" s="38"/>
      <c r="C119" s="80" t="s">
        <v>41</v>
      </c>
      <c r="D119" s="93"/>
      <c r="E119" s="94"/>
      <c r="F119" s="93"/>
      <c r="G119" s="94"/>
      <c r="H119" s="93"/>
      <c r="I119" s="95">
        <f>SUM(I110:I118)</f>
        <v>3084.91</v>
      </c>
      <c r="J119" s="64"/>
      <c r="K119" s="34"/>
      <c r="M119" s="34"/>
      <c r="O119" s="34"/>
    </row>
    <row r="120" spans="1:15" s="35" customFormat="1" ht="15" customHeight="1">
      <c r="A120" s="34"/>
      <c r="B120" s="38"/>
      <c r="C120" s="34"/>
      <c r="E120" s="34"/>
      <c r="G120" s="34"/>
      <c r="I120" s="96"/>
      <c r="K120" s="34"/>
      <c r="M120" s="34"/>
      <c r="O120" s="34"/>
    </row>
    <row r="121" spans="1:15" s="35" customFormat="1" ht="12.75" customHeight="1">
      <c r="A121" s="34"/>
      <c r="B121" s="38"/>
      <c r="C121" s="99"/>
      <c r="D121" s="64"/>
      <c r="E121" s="99"/>
      <c r="F121" s="64"/>
      <c r="G121" s="99"/>
      <c r="H121" s="64"/>
      <c r="I121" s="100"/>
      <c r="J121" s="64"/>
      <c r="K121" s="34"/>
      <c r="M121" s="34"/>
      <c r="O121" s="34"/>
    </row>
    <row r="122" spans="1:15" s="35" customFormat="1" ht="15" customHeight="1">
      <c r="A122" s="34"/>
      <c r="B122" s="38"/>
      <c r="C122" s="427" t="s">
        <v>61</v>
      </c>
      <c r="D122" s="428"/>
      <c r="E122" s="428"/>
      <c r="F122" s="428"/>
      <c r="G122" s="428"/>
      <c r="H122" s="428"/>
      <c r="I122" s="429"/>
      <c r="J122" s="64"/>
      <c r="K122" s="34"/>
      <c r="M122" s="34"/>
      <c r="O122" s="34"/>
    </row>
    <row r="123" spans="1:15" s="35" customFormat="1" ht="15" customHeight="1">
      <c r="A123" s="34"/>
      <c r="B123" s="38"/>
      <c r="C123" s="414" t="s">
        <v>120</v>
      </c>
      <c r="D123" s="415"/>
      <c r="E123" s="416" t="s">
        <v>121</v>
      </c>
      <c r="F123" s="417"/>
      <c r="G123" s="416" t="s">
        <v>138</v>
      </c>
      <c r="H123" s="417"/>
      <c r="I123" s="103" t="s">
        <v>135</v>
      </c>
      <c r="J123" s="104"/>
      <c r="K123" s="34"/>
      <c r="M123" s="34"/>
      <c r="O123" s="34"/>
    </row>
    <row r="124" spans="1:15" s="35" customFormat="1" ht="12.75">
      <c r="A124" s="34"/>
      <c r="B124" s="38"/>
      <c r="C124" s="397" t="str">
        <f>C7</f>
        <v>Operador de Roçadeira</v>
      </c>
      <c r="D124" s="399"/>
      <c r="E124" s="395">
        <f>H7</f>
        <v>2</v>
      </c>
      <c r="F124" s="396"/>
      <c r="G124" s="509">
        <f>I65</f>
        <v>3783.49</v>
      </c>
      <c r="H124" s="509"/>
      <c r="I124" s="107">
        <f>ROUND(E124*G124,2)</f>
        <v>7566.98</v>
      </c>
      <c r="J124" s="64"/>
      <c r="K124" s="34"/>
      <c r="M124" s="34"/>
      <c r="O124" s="34"/>
    </row>
    <row r="125" spans="1:15" s="35" customFormat="1" ht="15" customHeight="1">
      <c r="A125" s="34"/>
      <c r="B125" s="38"/>
      <c r="C125" s="397" t="str">
        <f>C8</f>
        <v>Pedreiro</v>
      </c>
      <c r="D125" s="399"/>
      <c r="E125" s="395">
        <f>H8</f>
        <v>1</v>
      </c>
      <c r="F125" s="396"/>
      <c r="G125" s="495">
        <f>I83</f>
        <v>4231.25</v>
      </c>
      <c r="H125" s="496"/>
      <c r="I125" s="107">
        <f>ROUND(E125*G125,2)</f>
        <v>4231.25</v>
      </c>
      <c r="J125" s="64"/>
      <c r="K125" s="34"/>
      <c r="M125" s="34"/>
      <c r="O125" s="34"/>
    </row>
    <row r="126" spans="1:15" s="35" customFormat="1" ht="15" customHeight="1">
      <c r="A126" s="34"/>
      <c r="B126" s="38"/>
      <c r="C126" s="397" t="str">
        <f>C9</f>
        <v>Jardineiro</v>
      </c>
      <c r="D126" s="399"/>
      <c r="E126" s="395">
        <f>H9</f>
        <v>1</v>
      </c>
      <c r="F126" s="396"/>
      <c r="G126" s="495">
        <f>I101</f>
        <v>3084.91</v>
      </c>
      <c r="H126" s="496"/>
      <c r="I126" s="107">
        <f>ROUND(E126*G126,2)</f>
        <v>3084.91</v>
      </c>
      <c r="J126" s="64"/>
      <c r="K126" s="34"/>
      <c r="M126" s="34"/>
      <c r="O126" s="34"/>
    </row>
    <row r="127" spans="1:15" s="35" customFormat="1" ht="15" customHeight="1">
      <c r="A127" s="34"/>
      <c r="B127" s="38"/>
      <c r="C127" s="397" t="str">
        <f>C10</f>
        <v>Ajudantes</v>
      </c>
      <c r="D127" s="399"/>
      <c r="E127" s="395">
        <f>H10</f>
        <v>4</v>
      </c>
      <c r="F127" s="396"/>
      <c r="G127" s="495">
        <f>I119</f>
        <v>3084.91</v>
      </c>
      <c r="H127" s="496"/>
      <c r="I127" s="107">
        <f>ROUND(E127*G127,2)</f>
        <v>12339.64</v>
      </c>
      <c r="J127" s="64"/>
      <c r="K127" s="34"/>
      <c r="M127" s="34"/>
      <c r="O127" s="34"/>
    </row>
    <row r="128" spans="1:15" s="35" customFormat="1" ht="16.5" customHeight="1">
      <c r="A128" s="34"/>
      <c r="B128" s="109"/>
      <c r="C128" s="101" t="s">
        <v>140</v>
      </c>
      <c r="D128" s="102"/>
      <c r="E128" s="110"/>
      <c r="F128" s="102"/>
      <c r="G128" s="110"/>
      <c r="H128" s="412">
        <f>SUM(I124:I127)</f>
        <v>27222.78</v>
      </c>
      <c r="I128" s="413"/>
      <c r="J128" s="111"/>
      <c r="K128" s="70"/>
      <c r="M128" s="34"/>
      <c r="O128" s="34"/>
    </row>
    <row r="129" spans="1:15" s="35" customFormat="1" ht="15.75" customHeight="1">
      <c r="A129" s="34"/>
      <c r="B129" s="109"/>
      <c r="C129" s="111"/>
      <c r="D129" s="112"/>
      <c r="E129" s="111"/>
      <c r="F129" s="112"/>
      <c r="G129" s="111"/>
      <c r="H129" s="112"/>
      <c r="I129" s="113"/>
      <c r="J129" s="111"/>
      <c r="K129" s="70"/>
      <c r="M129" s="34"/>
      <c r="O129" s="34"/>
    </row>
    <row r="130" spans="1:15" s="35" customFormat="1" ht="15.75" customHeight="1">
      <c r="A130" s="34"/>
      <c r="B130" s="109"/>
      <c r="C130" s="111"/>
      <c r="D130" s="112"/>
      <c r="E130" s="111"/>
      <c r="F130" s="112"/>
      <c r="G130" s="111"/>
      <c r="H130" s="112"/>
      <c r="I130" s="113"/>
      <c r="J130" s="111"/>
      <c r="K130" s="70"/>
      <c r="M130" s="34"/>
      <c r="O130" s="34"/>
    </row>
    <row r="131" spans="3:10" ht="15" customHeight="1">
      <c r="C131" s="115" t="s">
        <v>172</v>
      </c>
      <c r="D131" s="39"/>
      <c r="E131" s="91"/>
      <c r="F131" s="39"/>
      <c r="G131" s="91"/>
      <c r="H131" s="39"/>
      <c r="I131" s="116"/>
      <c r="J131" s="64"/>
    </row>
    <row r="132" spans="3:10" ht="15" customHeight="1">
      <c r="C132" s="117"/>
      <c r="D132" s="39"/>
      <c r="E132" s="91"/>
      <c r="F132" s="39"/>
      <c r="G132" s="91"/>
      <c r="H132" s="39"/>
      <c r="I132" s="116"/>
      <c r="J132" s="64"/>
    </row>
    <row r="133" spans="3:11" ht="24" customHeight="1">
      <c r="C133" s="101" t="s">
        <v>120</v>
      </c>
      <c r="D133" s="110"/>
      <c r="E133" s="110"/>
      <c r="F133" s="118" t="s">
        <v>0</v>
      </c>
      <c r="G133" s="119" t="s">
        <v>147</v>
      </c>
      <c r="H133" s="408" t="s">
        <v>148</v>
      </c>
      <c r="I133" s="409"/>
      <c r="J133" s="91"/>
      <c r="K133" s="120"/>
    </row>
    <row r="134" spans="3:11" ht="82.5" customHeight="1">
      <c r="C134" s="405" t="s">
        <v>316</v>
      </c>
      <c r="D134" s="406"/>
      <c r="E134" s="407"/>
      <c r="F134" s="121">
        <v>1</v>
      </c>
      <c r="G134" s="122">
        <f>'1. Forn. de Mudas e Plantio'!G76</f>
        <v>10000</v>
      </c>
      <c r="H134" s="410">
        <f>F134*G134</f>
        <v>10000</v>
      </c>
      <c r="I134" s="411"/>
      <c r="J134" s="91"/>
      <c r="K134" s="123"/>
    </row>
    <row r="135" spans="3:11" ht="15" customHeight="1">
      <c r="C135" s="101" t="s">
        <v>320</v>
      </c>
      <c r="D135" s="124"/>
      <c r="E135" s="125"/>
      <c r="F135" s="124"/>
      <c r="G135" s="125"/>
      <c r="H135" s="412">
        <f>SUM(H134)</f>
        <v>10000</v>
      </c>
      <c r="I135" s="413"/>
      <c r="J135" s="91"/>
      <c r="K135" s="113"/>
    </row>
    <row r="136" spans="3:11" ht="15" customHeight="1">
      <c r="C136" s="117"/>
      <c r="D136" s="39"/>
      <c r="E136" s="91"/>
      <c r="F136" s="39"/>
      <c r="G136" s="91"/>
      <c r="H136" s="39"/>
      <c r="I136" s="116"/>
      <c r="J136" s="64"/>
      <c r="K136" s="91"/>
    </row>
    <row r="137" spans="2:13" s="35" customFormat="1" ht="15" customHeight="1">
      <c r="B137" s="38"/>
      <c r="C137" s="126" t="s">
        <v>173</v>
      </c>
      <c r="D137" s="127"/>
      <c r="E137" s="127"/>
      <c r="F137" s="127"/>
      <c r="G137" s="127"/>
      <c r="H137" s="127"/>
      <c r="I137" s="127"/>
      <c r="J137" s="128"/>
      <c r="K137" s="129"/>
      <c r="M137" s="34"/>
    </row>
    <row r="138" spans="2:13" s="35" customFormat="1" ht="15" customHeight="1">
      <c r="B138" s="38"/>
      <c r="C138" s="105" t="s">
        <v>97</v>
      </c>
      <c r="D138" s="39"/>
      <c r="E138" s="91"/>
      <c r="F138" s="39"/>
      <c r="G138" s="91"/>
      <c r="H138" s="39"/>
      <c r="I138" s="130">
        <v>200</v>
      </c>
      <c r="J138" s="131"/>
      <c r="K138" s="34"/>
      <c r="M138" s="34"/>
    </row>
    <row r="139" spans="2:13" s="35" customFormat="1" ht="15" customHeight="1">
      <c r="B139" s="38"/>
      <c r="C139" s="71" t="s">
        <v>78</v>
      </c>
      <c r="D139" s="72"/>
      <c r="E139" s="108"/>
      <c r="F139" s="72"/>
      <c r="G139" s="108"/>
      <c r="H139" s="72"/>
      <c r="I139" s="132">
        <v>60</v>
      </c>
      <c r="J139" s="53"/>
      <c r="K139" s="34"/>
      <c r="M139" s="34"/>
    </row>
    <row r="140" spans="2:13" s="35" customFormat="1" ht="15" customHeight="1">
      <c r="B140" s="38"/>
      <c r="C140" s="105" t="s">
        <v>49</v>
      </c>
      <c r="D140" s="39"/>
      <c r="E140" s="91"/>
      <c r="F140" s="39"/>
      <c r="G140" s="91"/>
      <c r="H140" s="39"/>
      <c r="I140" s="133">
        <v>90</v>
      </c>
      <c r="J140" s="134"/>
      <c r="K140" s="34"/>
      <c r="M140" s="34"/>
    </row>
    <row r="141" spans="2:13" s="35" customFormat="1" ht="15" customHeight="1">
      <c r="B141" s="38"/>
      <c r="C141" s="71" t="s">
        <v>48</v>
      </c>
      <c r="D141" s="72"/>
      <c r="E141" s="108"/>
      <c r="F141" s="72"/>
      <c r="G141" s="108"/>
      <c r="H141" s="72"/>
      <c r="I141" s="135">
        <v>1</v>
      </c>
      <c r="J141" s="53"/>
      <c r="K141" s="34"/>
      <c r="M141" s="34"/>
    </row>
    <row r="142" spans="2:13" s="35" customFormat="1" ht="15" customHeight="1">
      <c r="B142" s="38"/>
      <c r="C142" s="80" t="s">
        <v>43</v>
      </c>
      <c r="D142" s="93"/>
      <c r="E142" s="94"/>
      <c r="F142" s="93"/>
      <c r="G142" s="94"/>
      <c r="H142" s="93"/>
      <c r="I142" s="136">
        <f>(I138+I140)*I141</f>
        <v>290</v>
      </c>
      <c r="J142" s="53"/>
      <c r="K142" s="34"/>
      <c r="M142" s="34"/>
    </row>
    <row r="143" spans="2:13" s="35" customFormat="1" ht="15" customHeight="1">
      <c r="B143" s="38"/>
      <c r="C143" s="99"/>
      <c r="D143" s="64"/>
      <c r="E143" s="99"/>
      <c r="F143" s="64"/>
      <c r="G143" s="99"/>
      <c r="H143" s="64"/>
      <c r="I143" s="137"/>
      <c r="J143" s="39"/>
      <c r="K143" s="34"/>
      <c r="M143" s="34"/>
    </row>
    <row r="144" spans="2:13" s="35" customFormat="1" ht="15" customHeight="1">
      <c r="B144" s="38"/>
      <c r="C144" s="465" t="s">
        <v>175</v>
      </c>
      <c r="D144" s="466"/>
      <c r="E144" s="466"/>
      <c r="F144" s="466"/>
      <c r="G144" s="466"/>
      <c r="H144" s="467"/>
      <c r="I144" s="137"/>
      <c r="J144" s="99"/>
      <c r="K144" s="34"/>
      <c r="M144" s="34"/>
    </row>
    <row r="145" spans="2:13" s="35" customFormat="1" ht="15" customHeight="1">
      <c r="B145" s="38"/>
      <c r="C145" s="71" t="s">
        <v>81</v>
      </c>
      <c r="D145" s="72"/>
      <c r="E145" s="108"/>
      <c r="F145" s="72"/>
      <c r="G145" s="138">
        <v>200</v>
      </c>
      <c r="H145" s="53"/>
      <c r="I145" s="139"/>
      <c r="J145" s="91"/>
      <c r="K145" s="34"/>
      <c r="M145" s="34"/>
    </row>
    <row r="146" spans="2:13" s="35" customFormat="1" ht="15" customHeight="1">
      <c r="B146" s="38"/>
      <c r="C146" s="71" t="s">
        <v>82</v>
      </c>
      <c r="D146" s="72"/>
      <c r="E146" s="108"/>
      <c r="F146" s="53"/>
      <c r="G146" s="140">
        <v>1</v>
      </c>
      <c r="H146" s="53"/>
      <c r="I146" s="139"/>
      <c r="J146" s="91"/>
      <c r="K146" s="34"/>
      <c r="M146" s="34"/>
    </row>
    <row r="147" spans="2:13" s="35" customFormat="1" ht="15" customHeight="1">
      <c r="B147" s="38"/>
      <c r="C147" s="141" t="s">
        <v>83</v>
      </c>
      <c r="D147" s="142"/>
      <c r="E147" s="143"/>
      <c r="G147" s="140">
        <v>12</v>
      </c>
      <c r="H147" s="53"/>
      <c r="I147" s="139"/>
      <c r="J147" s="91"/>
      <c r="K147" s="34"/>
      <c r="M147" s="34"/>
    </row>
    <row r="148" spans="2:13" s="35" customFormat="1" ht="15" customHeight="1">
      <c r="B148" s="38"/>
      <c r="C148" s="80" t="s">
        <v>84</v>
      </c>
      <c r="D148" s="93"/>
      <c r="E148" s="94"/>
      <c r="F148" s="93"/>
      <c r="G148" s="136">
        <f>(G145*G146)/G147</f>
        <v>16.67</v>
      </c>
      <c r="H148" s="144"/>
      <c r="J148" s="64"/>
      <c r="K148" s="34"/>
      <c r="M148" s="34"/>
    </row>
    <row r="149" spans="2:13" s="35" customFormat="1" ht="16.5" customHeight="1">
      <c r="B149" s="38"/>
      <c r="C149" s="99"/>
      <c r="D149" s="64"/>
      <c r="E149" s="99"/>
      <c r="F149" s="64"/>
      <c r="G149" s="99"/>
      <c r="H149" s="64"/>
      <c r="I149" s="137"/>
      <c r="J149" s="64"/>
      <c r="K149" s="34"/>
      <c r="M149" s="34"/>
    </row>
    <row r="150" spans="3:10" ht="15" customHeight="1">
      <c r="C150" s="91"/>
      <c r="D150" s="39"/>
      <c r="E150" s="91"/>
      <c r="F150" s="39"/>
      <c r="G150" s="91"/>
      <c r="H150" s="39"/>
      <c r="I150" s="116"/>
      <c r="J150" s="64"/>
    </row>
    <row r="151" spans="2:13" s="35" customFormat="1" ht="15" customHeight="1">
      <c r="B151" s="38"/>
      <c r="C151" s="462" t="s">
        <v>174</v>
      </c>
      <c r="D151" s="463"/>
      <c r="E151" s="463"/>
      <c r="F151" s="463"/>
      <c r="G151" s="463"/>
      <c r="H151" s="463"/>
      <c r="I151" s="464"/>
      <c r="J151" s="39"/>
      <c r="K151" s="34"/>
      <c r="M151" s="34"/>
    </row>
    <row r="152" spans="2:13" s="35" customFormat="1" ht="15" customHeight="1">
      <c r="B152" s="38"/>
      <c r="C152" s="71" t="s">
        <v>118</v>
      </c>
      <c r="D152" s="72"/>
      <c r="E152" s="108"/>
      <c r="F152" s="72"/>
      <c r="G152" s="108"/>
      <c r="H152" s="72"/>
      <c r="I152" s="145">
        <f>H135</f>
        <v>10000</v>
      </c>
      <c r="J152" s="39"/>
      <c r="K152" s="34"/>
      <c r="M152" s="34"/>
    </row>
    <row r="153" spans="2:13" s="35" customFormat="1" ht="15" customHeight="1">
      <c r="B153" s="38"/>
      <c r="C153" s="71" t="s">
        <v>85</v>
      </c>
      <c r="D153" s="72"/>
      <c r="E153" s="108"/>
      <c r="F153" s="72"/>
      <c r="G153" s="108"/>
      <c r="H153" s="72"/>
      <c r="I153" s="145">
        <f>I142</f>
        <v>290</v>
      </c>
      <c r="J153" s="39"/>
      <c r="K153" s="34"/>
      <c r="M153" s="34"/>
    </row>
    <row r="154" spans="2:13" s="35" customFormat="1" ht="15" customHeight="1">
      <c r="B154" s="38"/>
      <c r="C154" s="71" t="s">
        <v>86</v>
      </c>
      <c r="D154" s="72"/>
      <c r="E154" s="108"/>
      <c r="F154" s="72"/>
      <c r="G154" s="108"/>
      <c r="H154" s="72"/>
      <c r="I154" s="145">
        <f>G148</f>
        <v>16.67</v>
      </c>
      <c r="J154" s="39"/>
      <c r="K154" s="34"/>
      <c r="M154" s="34"/>
    </row>
    <row r="155" spans="2:13" s="35" customFormat="1" ht="15" customHeight="1">
      <c r="B155" s="109"/>
      <c r="C155" s="101" t="s">
        <v>122</v>
      </c>
      <c r="D155" s="102"/>
      <c r="E155" s="110"/>
      <c r="F155" s="102"/>
      <c r="G155" s="110"/>
      <c r="H155" s="102"/>
      <c r="I155" s="95">
        <f>SUM(I152:I154)</f>
        <v>10306.67</v>
      </c>
      <c r="J155" s="113"/>
      <c r="K155" s="111"/>
      <c r="L155" s="69"/>
      <c r="M155" s="70"/>
    </row>
    <row r="156" spans="1:15" s="35" customFormat="1" ht="15" customHeight="1">
      <c r="A156" s="34"/>
      <c r="B156" s="114"/>
      <c r="C156" s="111"/>
      <c r="D156" s="112"/>
      <c r="E156" s="111"/>
      <c r="F156" s="112"/>
      <c r="G156" s="111"/>
      <c r="H156" s="112"/>
      <c r="I156" s="113"/>
      <c r="J156" s="111"/>
      <c r="K156" s="70"/>
      <c r="M156" s="34"/>
      <c r="O156" s="34"/>
    </row>
    <row r="157" spans="1:15" s="35" customFormat="1" ht="15" customHeight="1">
      <c r="A157" s="34"/>
      <c r="B157" s="38"/>
      <c r="C157" s="91"/>
      <c r="D157" s="39"/>
      <c r="E157" s="91"/>
      <c r="F157" s="39"/>
      <c r="G157" s="91"/>
      <c r="H157" s="39"/>
      <c r="I157" s="116"/>
      <c r="J157" s="64"/>
      <c r="K157" s="34"/>
      <c r="M157" s="34"/>
      <c r="O157" s="34"/>
    </row>
    <row r="158" spans="1:15" s="35" customFormat="1" ht="15" customHeight="1">
      <c r="A158" s="34"/>
      <c r="B158" s="38"/>
      <c r="C158" s="115" t="s">
        <v>317</v>
      </c>
      <c r="D158" s="39"/>
      <c r="E158" s="91"/>
      <c r="F158" s="39"/>
      <c r="G158" s="91"/>
      <c r="H158" s="39"/>
      <c r="I158" s="116"/>
      <c r="J158" s="64"/>
      <c r="K158" s="34"/>
      <c r="M158" s="34"/>
      <c r="O158" s="34"/>
    </row>
    <row r="159" spans="1:15" s="35" customFormat="1" ht="15" customHeight="1">
      <c r="A159" s="34"/>
      <c r="B159" s="38"/>
      <c r="C159" s="117"/>
      <c r="D159" s="39"/>
      <c r="E159" s="91"/>
      <c r="F159" s="39"/>
      <c r="G159" s="91"/>
      <c r="H159" s="39"/>
      <c r="I159" s="116"/>
      <c r="J159" s="64"/>
      <c r="K159" s="34"/>
      <c r="M159" s="34"/>
      <c r="O159" s="34"/>
    </row>
    <row r="160" spans="1:15" s="35" customFormat="1" ht="24" customHeight="1">
      <c r="A160" s="34"/>
      <c r="B160" s="38"/>
      <c r="C160" s="416" t="s">
        <v>120</v>
      </c>
      <c r="D160" s="516"/>
      <c r="E160" s="516"/>
      <c r="F160" s="516"/>
      <c r="G160" s="417"/>
      <c r="H160" s="118" t="s">
        <v>0</v>
      </c>
      <c r="I160" s="119" t="s">
        <v>147</v>
      </c>
      <c r="J160" s="119" t="s">
        <v>148</v>
      </c>
      <c r="K160" s="120"/>
      <c r="M160" s="34"/>
      <c r="O160" s="34"/>
    </row>
    <row r="161" spans="1:15" s="35" customFormat="1" ht="48" customHeight="1">
      <c r="A161" s="34"/>
      <c r="B161" s="38"/>
      <c r="C161" s="523" t="s">
        <v>318</v>
      </c>
      <c r="D161" s="524"/>
      <c r="E161" s="524"/>
      <c r="F161" s="524"/>
      <c r="G161" s="525"/>
      <c r="H161" s="121">
        <v>1</v>
      </c>
      <c r="I161" s="185">
        <v>12000</v>
      </c>
      <c r="J161" s="185">
        <f>H161*I161</f>
        <v>12000</v>
      </c>
      <c r="K161" s="123"/>
      <c r="M161" s="34"/>
      <c r="O161" s="34"/>
    </row>
    <row r="162" spans="1:15" s="35" customFormat="1" ht="15" customHeight="1">
      <c r="A162" s="34"/>
      <c r="B162" s="38"/>
      <c r="C162" s="520" t="s">
        <v>319</v>
      </c>
      <c r="D162" s="520"/>
      <c r="E162" s="520"/>
      <c r="F162" s="520"/>
      <c r="G162" s="520"/>
      <c r="H162" s="520"/>
      <c r="I162" s="520"/>
      <c r="J162" s="184">
        <f>SUM(J161)</f>
        <v>12000</v>
      </c>
      <c r="K162" s="113"/>
      <c r="M162" s="34"/>
      <c r="O162" s="34"/>
    </row>
    <row r="163" spans="1:15" s="35" customFormat="1" ht="15" customHeight="1">
      <c r="A163" s="34"/>
      <c r="B163" s="38"/>
      <c r="C163" s="117"/>
      <c r="D163" s="39"/>
      <c r="E163" s="91"/>
      <c r="F163" s="39"/>
      <c r="G163" s="91"/>
      <c r="H163" s="39"/>
      <c r="I163" s="116"/>
      <c r="J163" s="64"/>
      <c r="K163" s="91"/>
      <c r="M163" s="34"/>
      <c r="O163" s="34"/>
    </row>
    <row r="164" spans="2:13" s="35" customFormat="1" ht="15" customHeight="1">
      <c r="B164" s="38"/>
      <c r="C164" s="126" t="s">
        <v>325</v>
      </c>
      <c r="D164" s="127"/>
      <c r="E164" s="127"/>
      <c r="F164" s="127"/>
      <c r="G164" s="127"/>
      <c r="H164" s="127"/>
      <c r="I164" s="127"/>
      <c r="J164" s="186"/>
      <c r="K164" s="129"/>
      <c r="M164" s="34"/>
    </row>
    <row r="165" spans="2:13" s="35" customFormat="1" ht="15" customHeight="1">
      <c r="B165" s="38"/>
      <c r="C165" s="105" t="s">
        <v>97</v>
      </c>
      <c r="D165" s="39"/>
      <c r="E165" s="91"/>
      <c r="F165" s="39"/>
      <c r="G165" s="91"/>
      <c r="H165" s="39"/>
      <c r="I165" s="130">
        <v>200</v>
      </c>
      <c r="J165" s="187"/>
      <c r="K165" s="34"/>
      <c r="M165" s="34"/>
    </row>
    <row r="166" spans="2:13" s="35" customFormat="1" ht="15" customHeight="1">
      <c r="B166" s="38"/>
      <c r="C166" s="71" t="s">
        <v>78</v>
      </c>
      <c r="D166" s="72"/>
      <c r="E166" s="108"/>
      <c r="F166" s="72"/>
      <c r="G166" s="108"/>
      <c r="H166" s="72"/>
      <c r="I166" s="132">
        <v>60</v>
      </c>
      <c r="J166" s="187"/>
      <c r="K166" s="34"/>
      <c r="M166" s="34"/>
    </row>
    <row r="167" spans="2:13" s="35" customFormat="1" ht="15" customHeight="1">
      <c r="B167" s="38"/>
      <c r="C167" s="105" t="s">
        <v>49</v>
      </c>
      <c r="D167" s="39"/>
      <c r="E167" s="91"/>
      <c r="F167" s="39"/>
      <c r="G167" s="91"/>
      <c r="H167" s="39"/>
      <c r="I167" s="133">
        <v>90</v>
      </c>
      <c r="J167" s="187"/>
      <c r="K167" s="34"/>
      <c r="M167" s="34"/>
    </row>
    <row r="168" spans="2:13" s="35" customFormat="1" ht="15" customHeight="1">
      <c r="B168" s="38"/>
      <c r="C168" s="71" t="s">
        <v>48</v>
      </c>
      <c r="D168" s="72"/>
      <c r="E168" s="108"/>
      <c r="F168" s="72"/>
      <c r="G168" s="108"/>
      <c r="H168" s="72"/>
      <c r="I168" s="135">
        <v>1</v>
      </c>
      <c r="J168" s="187"/>
      <c r="K168" s="34"/>
      <c r="M168" s="34"/>
    </row>
    <row r="169" spans="2:13" s="35" customFormat="1" ht="15" customHeight="1">
      <c r="B169" s="38"/>
      <c r="C169" s="80" t="s">
        <v>43</v>
      </c>
      <c r="D169" s="93"/>
      <c r="E169" s="94"/>
      <c r="F169" s="93"/>
      <c r="G169" s="94"/>
      <c r="H169" s="93"/>
      <c r="I169" s="136">
        <f>(I165+I167)*I168</f>
        <v>290</v>
      </c>
      <c r="J169" s="187"/>
      <c r="K169" s="34"/>
      <c r="M169" s="34"/>
    </row>
    <row r="170" spans="2:13" s="35" customFormat="1" ht="15" customHeight="1">
      <c r="B170" s="38"/>
      <c r="C170" s="99"/>
      <c r="D170" s="64"/>
      <c r="E170" s="99"/>
      <c r="F170" s="64"/>
      <c r="G170" s="99"/>
      <c r="H170" s="64"/>
      <c r="I170" s="137"/>
      <c r="J170" s="39"/>
      <c r="K170" s="34"/>
      <c r="M170" s="34"/>
    </row>
    <row r="171" spans="2:13" s="35" customFormat="1" ht="15" customHeight="1">
      <c r="B171" s="38"/>
      <c r="C171" s="465" t="s">
        <v>326</v>
      </c>
      <c r="D171" s="466"/>
      <c r="E171" s="466"/>
      <c r="F171" s="466"/>
      <c r="G171" s="466"/>
      <c r="H171" s="467"/>
      <c r="I171" s="137"/>
      <c r="J171" s="99"/>
      <c r="K171" s="34"/>
      <c r="M171" s="34"/>
    </row>
    <row r="172" spans="2:13" s="35" customFormat="1" ht="15" customHeight="1">
      <c r="B172" s="38"/>
      <c r="C172" s="71" t="s">
        <v>81</v>
      </c>
      <c r="D172" s="72"/>
      <c r="E172" s="108"/>
      <c r="F172" s="72"/>
      <c r="G172" s="138">
        <v>200</v>
      </c>
      <c r="H172" s="53"/>
      <c r="I172" s="139"/>
      <c r="J172" s="91"/>
      <c r="K172" s="34"/>
      <c r="M172" s="34"/>
    </row>
    <row r="173" spans="2:13" s="35" customFormat="1" ht="15" customHeight="1">
      <c r="B173" s="38"/>
      <c r="C173" s="71" t="s">
        <v>82</v>
      </c>
      <c r="D173" s="72"/>
      <c r="E173" s="108"/>
      <c r="F173" s="53"/>
      <c r="G173" s="140">
        <v>1</v>
      </c>
      <c r="H173" s="53"/>
      <c r="I173" s="139"/>
      <c r="J173" s="91"/>
      <c r="K173" s="34"/>
      <c r="M173" s="34"/>
    </row>
    <row r="174" spans="2:13" s="35" customFormat="1" ht="15" customHeight="1">
      <c r="B174" s="38"/>
      <c r="C174" s="141" t="s">
        <v>83</v>
      </c>
      <c r="D174" s="142"/>
      <c r="E174" s="143"/>
      <c r="G174" s="140">
        <v>12</v>
      </c>
      <c r="H174" s="53"/>
      <c r="I174" s="139"/>
      <c r="J174" s="91"/>
      <c r="K174" s="34"/>
      <c r="M174" s="34"/>
    </row>
    <row r="175" spans="2:13" s="35" customFormat="1" ht="15" customHeight="1">
      <c r="B175" s="38"/>
      <c r="C175" s="80" t="s">
        <v>84</v>
      </c>
      <c r="D175" s="93"/>
      <c r="E175" s="94"/>
      <c r="F175" s="93"/>
      <c r="G175" s="136">
        <f>(G172*G173)/G174</f>
        <v>16.67</v>
      </c>
      <c r="H175" s="144"/>
      <c r="J175" s="64"/>
      <c r="K175" s="34"/>
      <c r="M175" s="34"/>
    </row>
    <row r="176" spans="2:13" s="35" customFormat="1" ht="16.5" customHeight="1">
      <c r="B176" s="38"/>
      <c r="C176" s="99"/>
      <c r="D176" s="64"/>
      <c r="E176" s="99"/>
      <c r="F176" s="64"/>
      <c r="G176" s="99"/>
      <c r="H176" s="64"/>
      <c r="I176" s="137"/>
      <c r="J176" s="64"/>
      <c r="K176" s="34"/>
      <c r="M176" s="34"/>
    </row>
    <row r="177" spans="1:15" s="35" customFormat="1" ht="15" customHeight="1">
      <c r="A177" s="34"/>
      <c r="B177" s="38"/>
      <c r="C177" s="91"/>
      <c r="D177" s="39"/>
      <c r="E177" s="91"/>
      <c r="F177" s="39"/>
      <c r="G177" s="91"/>
      <c r="H177" s="39"/>
      <c r="I177" s="116"/>
      <c r="J177" s="64"/>
      <c r="K177" s="34"/>
      <c r="M177" s="34"/>
      <c r="O177" s="34"/>
    </row>
    <row r="178" spans="2:13" s="35" customFormat="1" ht="15" customHeight="1">
      <c r="B178" s="38"/>
      <c r="C178" s="462" t="s">
        <v>327</v>
      </c>
      <c r="D178" s="463"/>
      <c r="E178" s="463"/>
      <c r="F178" s="463"/>
      <c r="G178" s="463"/>
      <c r="H178" s="463"/>
      <c r="I178" s="464"/>
      <c r="J178" s="39"/>
      <c r="K178" s="34"/>
      <c r="M178" s="34"/>
    </row>
    <row r="179" spans="2:13" s="35" customFormat="1" ht="15" customHeight="1">
      <c r="B179" s="38"/>
      <c r="C179" s="71" t="s">
        <v>118</v>
      </c>
      <c r="D179" s="72"/>
      <c r="E179" s="108"/>
      <c r="F179" s="72"/>
      <c r="G179" s="108"/>
      <c r="H179" s="72"/>
      <c r="I179" s="145">
        <f>J162</f>
        <v>12000</v>
      </c>
      <c r="J179" s="39"/>
      <c r="K179" s="34"/>
      <c r="M179" s="34"/>
    </row>
    <row r="180" spans="2:13" s="35" customFormat="1" ht="15" customHeight="1">
      <c r="B180" s="38"/>
      <c r="C180" s="71" t="s">
        <v>85</v>
      </c>
      <c r="D180" s="72"/>
      <c r="E180" s="108"/>
      <c r="F180" s="72"/>
      <c r="G180" s="108"/>
      <c r="H180" s="72"/>
      <c r="I180" s="145">
        <f>I169</f>
        <v>290</v>
      </c>
      <c r="J180" s="39"/>
      <c r="K180" s="34"/>
      <c r="M180" s="34"/>
    </row>
    <row r="181" spans="2:13" s="35" customFormat="1" ht="15" customHeight="1">
      <c r="B181" s="38"/>
      <c r="C181" s="71" t="s">
        <v>86</v>
      </c>
      <c r="D181" s="72"/>
      <c r="E181" s="108"/>
      <c r="F181" s="72"/>
      <c r="G181" s="108"/>
      <c r="H181" s="72"/>
      <c r="I181" s="145">
        <f>G175</f>
        <v>16.67</v>
      </c>
      <c r="J181" s="39"/>
      <c r="K181" s="34"/>
      <c r="M181" s="34"/>
    </row>
    <row r="182" spans="2:13" s="35" customFormat="1" ht="15" customHeight="1">
      <c r="B182" s="109"/>
      <c r="C182" s="101" t="s">
        <v>328</v>
      </c>
      <c r="D182" s="102"/>
      <c r="E182" s="110"/>
      <c r="F182" s="102"/>
      <c r="G182" s="110"/>
      <c r="H182" s="102"/>
      <c r="I182" s="95">
        <f>SUM(I179:I181)</f>
        <v>12306.67</v>
      </c>
      <c r="J182" s="113"/>
      <c r="K182" s="111"/>
      <c r="L182" s="69"/>
      <c r="M182" s="70"/>
    </row>
    <row r="183" spans="2:13" s="35" customFormat="1" ht="15" customHeight="1">
      <c r="B183" s="109"/>
      <c r="C183" s="188"/>
      <c r="D183" s="189"/>
      <c r="E183" s="188"/>
      <c r="F183" s="189"/>
      <c r="G183" s="188"/>
      <c r="H183" s="189"/>
      <c r="I183" s="190"/>
      <c r="J183" s="113"/>
      <c r="K183" s="111"/>
      <c r="L183" s="69"/>
      <c r="M183" s="70"/>
    </row>
    <row r="184" spans="2:13" s="35" customFormat="1" ht="15" customHeight="1">
      <c r="B184" s="109"/>
      <c r="C184" s="111"/>
      <c r="D184" s="112"/>
      <c r="E184" s="111"/>
      <c r="F184" s="112"/>
      <c r="G184" s="111"/>
      <c r="H184" s="112"/>
      <c r="I184" s="137"/>
      <c r="J184" s="113"/>
      <c r="K184" s="111"/>
      <c r="L184" s="69"/>
      <c r="M184" s="70"/>
    </row>
    <row r="185" spans="2:13" s="35" customFormat="1" ht="15" customHeight="1">
      <c r="B185" s="109"/>
      <c r="C185" s="513" t="s">
        <v>301</v>
      </c>
      <c r="D185" s="514"/>
      <c r="E185" s="514"/>
      <c r="F185" s="514"/>
      <c r="G185" s="514"/>
      <c r="H185" s="514"/>
      <c r="I185" s="514"/>
      <c r="J185" s="515"/>
      <c r="K185" s="111"/>
      <c r="L185" s="69"/>
      <c r="M185" s="70"/>
    </row>
    <row r="186" spans="2:13" s="35" customFormat="1" ht="15" customHeight="1">
      <c r="B186" s="109"/>
      <c r="C186" s="416" t="s">
        <v>120</v>
      </c>
      <c r="D186" s="516"/>
      <c r="E186" s="516"/>
      <c r="F186" s="516"/>
      <c r="G186" s="516"/>
      <c r="H186" s="516"/>
      <c r="I186" s="417"/>
      <c r="J186" s="103" t="s">
        <v>135</v>
      </c>
      <c r="K186" s="111"/>
      <c r="L186" s="69"/>
      <c r="M186" s="70"/>
    </row>
    <row r="187" spans="2:13" s="35" customFormat="1" ht="23.25" customHeight="1">
      <c r="B187" s="109"/>
      <c r="C187" s="490" t="str">
        <f>C134</f>
        <v>Caminhão basculante com modulo e banheiro para transporte de funcionários, inclusive motorista, combustível, manutenção, com no máximo 10 anos de fabricação.</v>
      </c>
      <c r="D187" s="491"/>
      <c r="E187" s="491"/>
      <c r="F187" s="491"/>
      <c r="G187" s="491"/>
      <c r="H187" s="491"/>
      <c r="I187" s="492"/>
      <c r="J187" s="107">
        <f>'1. Forn. de Mudas e Plantio'!G76</f>
        <v>10000</v>
      </c>
      <c r="K187" s="111"/>
      <c r="L187" s="69"/>
      <c r="M187" s="70"/>
    </row>
    <row r="188" spans="2:13" s="35" customFormat="1" ht="23.25" customHeight="1">
      <c r="B188" s="109"/>
      <c r="C188" s="490" t="str">
        <f>C161</f>
        <v>veículo tipo van com capacidade mínima de 10 passageiros para transporte de funcionários, com no máximo 10 anos de fabricação.</v>
      </c>
      <c r="D188" s="491"/>
      <c r="E188" s="491"/>
      <c r="F188" s="491"/>
      <c r="G188" s="491"/>
      <c r="H188" s="491"/>
      <c r="I188" s="492"/>
      <c r="J188" s="107">
        <f>I182</f>
        <v>12306.67</v>
      </c>
      <c r="K188" s="111"/>
      <c r="L188" s="69"/>
      <c r="M188" s="70"/>
    </row>
    <row r="189" spans="1:15" s="39" customFormat="1" ht="15" customHeight="1">
      <c r="A189" s="91"/>
      <c r="B189" s="191"/>
      <c r="C189" s="520" t="s">
        <v>140</v>
      </c>
      <c r="D189" s="520"/>
      <c r="E189" s="520"/>
      <c r="F189" s="520"/>
      <c r="G189" s="520"/>
      <c r="H189" s="520"/>
      <c r="I189" s="520"/>
      <c r="J189" s="174">
        <f>SUM(J187:J188)</f>
        <v>22306.67</v>
      </c>
      <c r="K189" s="91"/>
      <c r="M189" s="91"/>
      <c r="O189" s="91"/>
    </row>
    <row r="190" spans="1:15" s="39" customFormat="1" ht="15" customHeight="1">
      <c r="A190" s="91"/>
      <c r="B190" s="191"/>
      <c r="C190" s="111"/>
      <c r="D190" s="112"/>
      <c r="E190" s="111"/>
      <c r="F190" s="112"/>
      <c r="G190" s="111"/>
      <c r="H190" s="192"/>
      <c r="I190" s="192"/>
      <c r="J190" s="64"/>
      <c r="K190" s="91"/>
      <c r="M190" s="91"/>
      <c r="O190" s="91"/>
    </row>
    <row r="191" spans="1:15" s="39" customFormat="1" ht="15" customHeight="1">
      <c r="A191" s="91"/>
      <c r="B191" s="191"/>
      <c r="C191" s="111"/>
      <c r="D191" s="112"/>
      <c r="E191" s="111"/>
      <c r="F191" s="112"/>
      <c r="G191" s="111"/>
      <c r="H191" s="192"/>
      <c r="I191" s="192"/>
      <c r="J191" s="64"/>
      <c r="K191" s="91"/>
      <c r="M191" s="91"/>
      <c r="O191" s="91"/>
    </row>
    <row r="192" spans="2:13" s="35" customFormat="1" ht="15" customHeight="1">
      <c r="B192" s="38"/>
      <c r="C192" s="115" t="s">
        <v>87</v>
      </c>
      <c r="D192" s="64"/>
      <c r="E192" s="99"/>
      <c r="F192" s="64"/>
      <c r="G192" s="99"/>
      <c r="H192" s="64"/>
      <c r="I192" s="137"/>
      <c r="J192" s="39"/>
      <c r="K192" s="34"/>
      <c r="M192" s="34"/>
    </row>
    <row r="193" spans="2:13" s="35" customFormat="1" ht="15" customHeight="1">
      <c r="B193" s="38"/>
      <c r="C193" s="115"/>
      <c r="D193" s="64"/>
      <c r="E193" s="99"/>
      <c r="F193" s="64"/>
      <c r="G193" s="99"/>
      <c r="H193" s="64"/>
      <c r="I193" s="137"/>
      <c r="J193" s="39"/>
      <c r="K193" s="34"/>
      <c r="M193" s="34"/>
    </row>
    <row r="194" spans="2:13" s="35" customFormat="1" ht="15" customHeight="1">
      <c r="B194" s="38"/>
      <c r="C194" s="421" t="s">
        <v>136</v>
      </c>
      <c r="D194" s="419"/>
      <c r="E194" s="419"/>
      <c r="F194" s="420"/>
      <c r="G194" s="146" t="s">
        <v>241</v>
      </c>
      <c r="H194" s="193" t="s">
        <v>137</v>
      </c>
      <c r="I194" s="147" t="s">
        <v>138</v>
      </c>
      <c r="J194" s="421" t="s">
        <v>135</v>
      </c>
      <c r="K194" s="420"/>
      <c r="M194" s="34"/>
    </row>
    <row r="195" spans="2:13" s="35" customFormat="1" ht="12.75">
      <c r="B195" s="38"/>
      <c r="C195" s="500" t="s">
        <v>16</v>
      </c>
      <c r="D195" s="501"/>
      <c r="E195" s="501"/>
      <c r="F195" s="502"/>
      <c r="G195" s="194">
        <v>6</v>
      </c>
      <c r="H195" s="148">
        <v>2</v>
      </c>
      <c r="I195" s="185">
        <f>'1. Forn. de Mudas e Plantio'!I104</f>
        <v>63.75</v>
      </c>
      <c r="J195" s="495">
        <f aca="true" t="shared" si="12" ref="J195:J206">G195*I195/H195</f>
        <v>191.25</v>
      </c>
      <c r="K195" s="496"/>
      <c r="M195" s="34"/>
    </row>
    <row r="196" spans="2:13" s="35" customFormat="1" ht="12.75">
      <c r="B196" s="38"/>
      <c r="C196" s="500" t="s">
        <v>329</v>
      </c>
      <c r="D196" s="501"/>
      <c r="E196" s="501"/>
      <c r="F196" s="502"/>
      <c r="G196" s="194">
        <v>6</v>
      </c>
      <c r="H196" s="148">
        <v>2</v>
      </c>
      <c r="I196" s="185">
        <f>'2. Poda'!I169</f>
        <v>56.47</v>
      </c>
      <c r="J196" s="495">
        <f t="shared" si="12"/>
        <v>169.41</v>
      </c>
      <c r="K196" s="496"/>
      <c r="M196" s="34"/>
    </row>
    <row r="197" spans="2:13" s="35" customFormat="1" ht="12.75">
      <c r="B197" s="38"/>
      <c r="C197" s="536" t="str">
        <f>'2. Poda'!C167:F167</f>
        <v>vassouras de piaçava com 20cm</v>
      </c>
      <c r="D197" s="501"/>
      <c r="E197" s="501"/>
      <c r="F197" s="502"/>
      <c r="G197" s="194">
        <v>12</v>
      </c>
      <c r="H197" s="148">
        <v>3</v>
      </c>
      <c r="I197" s="185">
        <f>'2. Poda'!I167</f>
        <v>22.93</v>
      </c>
      <c r="J197" s="495">
        <f t="shared" si="12"/>
        <v>91.72</v>
      </c>
      <c r="K197" s="496"/>
      <c r="M197" s="34"/>
    </row>
    <row r="198" spans="2:13" s="35" customFormat="1" ht="12.75">
      <c r="B198" s="38"/>
      <c r="C198" s="500" t="s">
        <v>336</v>
      </c>
      <c r="D198" s="501"/>
      <c r="E198" s="501"/>
      <c r="F198" s="502"/>
      <c r="G198" s="194">
        <v>20</v>
      </c>
      <c r="H198" s="148">
        <v>12</v>
      </c>
      <c r="I198" s="185">
        <f>'2. Poda'!I168</f>
        <v>48.08</v>
      </c>
      <c r="J198" s="495">
        <f t="shared" si="12"/>
        <v>80.13</v>
      </c>
      <c r="K198" s="496"/>
      <c r="M198" s="34"/>
    </row>
    <row r="199" spans="2:13" s="35" customFormat="1" ht="12.75">
      <c r="B199" s="38"/>
      <c r="C199" s="500" t="s">
        <v>337</v>
      </c>
      <c r="D199" s="501"/>
      <c r="E199" s="501"/>
      <c r="F199" s="502"/>
      <c r="G199" s="194">
        <v>6</v>
      </c>
      <c r="H199" s="148">
        <v>2</v>
      </c>
      <c r="I199" s="185">
        <f>'1. Forn. de Mudas e Plantio'!I106</f>
        <v>58.24</v>
      </c>
      <c r="J199" s="495">
        <f t="shared" si="12"/>
        <v>174.72</v>
      </c>
      <c r="K199" s="496"/>
      <c r="M199" s="34"/>
    </row>
    <row r="200" spans="2:13" s="35" customFormat="1" ht="12.75">
      <c r="B200" s="38"/>
      <c r="C200" s="500" t="s">
        <v>330</v>
      </c>
      <c r="D200" s="501"/>
      <c r="E200" s="501"/>
      <c r="F200" s="502"/>
      <c r="G200" s="194">
        <v>24</v>
      </c>
      <c r="H200" s="148">
        <v>12</v>
      </c>
      <c r="I200" s="185">
        <f>'1. Forn. de Mudas e Plantio'!I103</f>
        <v>266.43</v>
      </c>
      <c r="J200" s="495">
        <f t="shared" si="12"/>
        <v>532.86</v>
      </c>
      <c r="K200" s="496"/>
      <c r="M200" s="34"/>
    </row>
    <row r="201" spans="2:13" s="35" customFormat="1" ht="12.75">
      <c r="B201" s="38"/>
      <c r="C201" s="500" t="s">
        <v>415</v>
      </c>
      <c r="D201" s="501"/>
      <c r="E201" s="501"/>
      <c r="F201" s="502"/>
      <c r="G201" s="194">
        <v>2</v>
      </c>
      <c r="H201" s="148">
        <v>12</v>
      </c>
      <c r="I201" s="185">
        <v>117.4</v>
      </c>
      <c r="J201" s="495">
        <f>G201*I201/H201</f>
        <v>19.57</v>
      </c>
      <c r="K201" s="496"/>
      <c r="M201" s="34"/>
    </row>
    <row r="202" spans="2:13" s="35" customFormat="1" ht="12.75">
      <c r="B202" s="38"/>
      <c r="C202" s="500" t="s">
        <v>124</v>
      </c>
      <c r="D202" s="501"/>
      <c r="E202" s="501"/>
      <c r="F202" s="502"/>
      <c r="G202" s="194">
        <v>6</v>
      </c>
      <c r="H202" s="148">
        <v>2</v>
      </c>
      <c r="I202" s="185">
        <f>'1. Forn. de Mudas e Plantio'!I107</f>
        <v>41.44</v>
      </c>
      <c r="J202" s="495">
        <f t="shared" si="12"/>
        <v>124.32</v>
      </c>
      <c r="K202" s="496"/>
      <c r="M202" s="34"/>
    </row>
    <row r="203" spans="2:13" s="35" customFormat="1" ht="12.75">
      <c r="B203" s="38"/>
      <c r="C203" s="500" t="s">
        <v>331</v>
      </c>
      <c r="D203" s="501"/>
      <c r="E203" s="501"/>
      <c r="F203" s="502"/>
      <c r="G203" s="194">
        <v>4</v>
      </c>
      <c r="H203" s="148">
        <v>2</v>
      </c>
      <c r="I203" s="185">
        <v>8.99</v>
      </c>
      <c r="J203" s="495">
        <f t="shared" si="12"/>
        <v>17.98</v>
      </c>
      <c r="K203" s="496"/>
      <c r="M203" s="34"/>
    </row>
    <row r="204" spans="2:13" s="35" customFormat="1" ht="12.75">
      <c r="B204" s="38"/>
      <c r="C204" s="500" t="s">
        <v>123</v>
      </c>
      <c r="D204" s="501"/>
      <c r="E204" s="501"/>
      <c r="F204" s="502"/>
      <c r="G204" s="194">
        <v>2</v>
      </c>
      <c r="H204" s="148">
        <v>12</v>
      </c>
      <c r="I204" s="185">
        <v>1606.6</v>
      </c>
      <c r="J204" s="495">
        <f t="shared" si="12"/>
        <v>267.77</v>
      </c>
      <c r="K204" s="496"/>
      <c r="M204" s="34"/>
    </row>
    <row r="205" spans="2:13" s="35" customFormat="1" ht="12.75">
      <c r="B205" s="38"/>
      <c r="C205" s="500" t="s">
        <v>333</v>
      </c>
      <c r="D205" s="501"/>
      <c r="E205" s="501"/>
      <c r="F205" s="502"/>
      <c r="G205" s="194">
        <v>1</v>
      </c>
      <c r="H205" s="148">
        <v>2</v>
      </c>
      <c r="I205" s="185">
        <v>192.7</v>
      </c>
      <c r="J205" s="495">
        <f t="shared" si="12"/>
        <v>96.35</v>
      </c>
      <c r="K205" s="496"/>
      <c r="M205" s="34"/>
    </row>
    <row r="206" spans="2:13" s="35" customFormat="1" ht="12.75">
      <c r="B206" s="38"/>
      <c r="C206" s="500" t="s">
        <v>339</v>
      </c>
      <c r="D206" s="501"/>
      <c r="E206" s="501"/>
      <c r="F206" s="502"/>
      <c r="G206" s="194">
        <v>5</v>
      </c>
      <c r="H206" s="148">
        <v>1</v>
      </c>
      <c r="I206" s="185">
        <v>38.92</v>
      </c>
      <c r="J206" s="495">
        <f t="shared" si="12"/>
        <v>194.6</v>
      </c>
      <c r="K206" s="496"/>
      <c r="M206" s="34"/>
    </row>
    <row r="207" spans="2:13" s="35" customFormat="1" ht="12.75">
      <c r="B207" s="38"/>
      <c r="C207" s="500" t="s">
        <v>334</v>
      </c>
      <c r="D207" s="501"/>
      <c r="E207" s="501"/>
      <c r="F207" s="502"/>
      <c r="G207" s="194">
        <v>30</v>
      </c>
      <c r="H207" s="148">
        <v>2</v>
      </c>
      <c r="I207" s="185">
        <v>9.31</v>
      </c>
      <c r="J207" s="495">
        <f>G207*I207/H207</f>
        <v>139.65</v>
      </c>
      <c r="K207" s="496"/>
      <c r="M207" s="34"/>
    </row>
    <row r="208" spans="2:13" s="35" customFormat="1" ht="12.75">
      <c r="B208" s="38"/>
      <c r="C208" s="500" t="s">
        <v>332</v>
      </c>
      <c r="D208" s="501"/>
      <c r="E208" s="501"/>
      <c r="F208" s="502"/>
      <c r="G208" s="194">
        <v>8</v>
      </c>
      <c r="H208" s="148">
        <v>1</v>
      </c>
      <c r="I208" s="185">
        <v>67.88</v>
      </c>
      <c r="J208" s="495">
        <f>G208*I208/H208</f>
        <v>543.04</v>
      </c>
      <c r="K208" s="496"/>
      <c r="M208" s="34"/>
    </row>
    <row r="209" spans="2:13" s="35" customFormat="1" ht="12.75">
      <c r="B209" s="38"/>
      <c r="C209" s="500" t="s">
        <v>335</v>
      </c>
      <c r="D209" s="501"/>
      <c r="E209" s="501"/>
      <c r="F209" s="502"/>
      <c r="G209" s="194">
        <v>10</v>
      </c>
      <c r="H209" s="148">
        <v>1</v>
      </c>
      <c r="I209" s="185">
        <v>28.97</v>
      </c>
      <c r="J209" s="495">
        <f>G209*I209/H209</f>
        <v>289.7</v>
      </c>
      <c r="K209" s="496"/>
      <c r="M209" s="34"/>
    </row>
    <row r="210" spans="2:13" s="35" customFormat="1" ht="12.75">
      <c r="B210" s="38"/>
      <c r="C210" s="500" t="s">
        <v>414</v>
      </c>
      <c r="D210" s="501"/>
      <c r="E210" s="501"/>
      <c r="F210" s="502"/>
      <c r="G210" s="194">
        <v>2</v>
      </c>
      <c r="H210" s="148">
        <v>12</v>
      </c>
      <c r="I210" s="185">
        <v>120.08</v>
      </c>
      <c r="J210" s="495">
        <f aca="true" t="shared" si="13" ref="J210:J221">G210*I210/H210</f>
        <v>20.01</v>
      </c>
      <c r="K210" s="496"/>
      <c r="M210" s="34"/>
    </row>
    <row r="211" spans="2:13" s="35" customFormat="1" ht="12.75">
      <c r="B211" s="38"/>
      <c r="C211" s="500" t="s">
        <v>416</v>
      </c>
      <c r="D211" s="501"/>
      <c r="E211" s="501"/>
      <c r="F211" s="502"/>
      <c r="G211" s="194">
        <v>4</v>
      </c>
      <c r="H211" s="148">
        <v>12</v>
      </c>
      <c r="I211" s="185">
        <v>41.74</v>
      </c>
      <c r="J211" s="495">
        <f t="shared" si="13"/>
        <v>13.91</v>
      </c>
      <c r="K211" s="496"/>
      <c r="M211" s="34"/>
    </row>
    <row r="212" spans="2:13" s="35" customFormat="1" ht="12.75">
      <c r="B212" s="38"/>
      <c r="C212" s="500" t="s">
        <v>417</v>
      </c>
      <c r="D212" s="501"/>
      <c r="E212" s="501"/>
      <c r="F212" s="502"/>
      <c r="G212" s="194">
        <v>6</v>
      </c>
      <c r="H212" s="148">
        <v>12</v>
      </c>
      <c r="I212" s="185">
        <v>10.28</v>
      </c>
      <c r="J212" s="495">
        <f t="shared" si="13"/>
        <v>5.14</v>
      </c>
      <c r="K212" s="496"/>
      <c r="M212" s="34"/>
    </row>
    <row r="213" spans="2:13" s="35" customFormat="1" ht="12.75">
      <c r="B213" s="38"/>
      <c r="C213" s="500" t="s">
        <v>418</v>
      </c>
      <c r="D213" s="501"/>
      <c r="E213" s="501"/>
      <c r="F213" s="502"/>
      <c r="G213" s="194">
        <v>4</v>
      </c>
      <c r="H213" s="148">
        <v>12</v>
      </c>
      <c r="I213" s="185">
        <v>40.66</v>
      </c>
      <c r="J213" s="495">
        <f t="shared" si="13"/>
        <v>13.55</v>
      </c>
      <c r="K213" s="496"/>
      <c r="M213" s="34"/>
    </row>
    <row r="214" spans="2:13" s="35" customFormat="1" ht="12.75">
      <c r="B214" s="38"/>
      <c r="C214" s="500" t="s">
        <v>419</v>
      </c>
      <c r="D214" s="501"/>
      <c r="E214" s="501"/>
      <c r="F214" s="502"/>
      <c r="G214" s="194">
        <v>4</v>
      </c>
      <c r="H214" s="148">
        <v>12</v>
      </c>
      <c r="I214" s="185">
        <v>57.53</v>
      </c>
      <c r="J214" s="495">
        <f t="shared" si="13"/>
        <v>19.18</v>
      </c>
      <c r="K214" s="496"/>
      <c r="M214" s="34"/>
    </row>
    <row r="215" spans="2:13" s="35" customFormat="1" ht="12.75">
      <c r="B215" s="38"/>
      <c r="C215" s="500" t="s">
        <v>420</v>
      </c>
      <c r="D215" s="501"/>
      <c r="E215" s="501"/>
      <c r="F215" s="502"/>
      <c r="G215" s="194">
        <v>1</v>
      </c>
      <c r="H215" s="148">
        <v>12</v>
      </c>
      <c r="I215" s="185">
        <v>65.75</v>
      </c>
      <c r="J215" s="495">
        <f t="shared" si="13"/>
        <v>5.48</v>
      </c>
      <c r="K215" s="496"/>
      <c r="M215" s="34"/>
    </row>
    <row r="216" spans="2:13" s="35" customFormat="1" ht="12.75">
      <c r="B216" s="38"/>
      <c r="C216" s="500" t="s">
        <v>421</v>
      </c>
      <c r="D216" s="501"/>
      <c r="E216" s="501"/>
      <c r="F216" s="502"/>
      <c r="G216" s="194">
        <v>2</v>
      </c>
      <c r="H216" s="198">
        <v>1</v>
      </c>
      <c r="I216" s="185">
        <v>23.42</v>
      </c>
      <c r="J216" s="495">
        <f t="shared" si="13"/>
        <v>46.84</v>
      </c>
      <c r="K216" s="496"/>
      <c r="M216" s="34"/>
    </row>
    <row r="217" spans="2:13" s="35" customFormat="1" ht="12.75">
      <c r="B217" s="38"/>
      <c r="C217" s="500" t="s">
        <v>422</v>
      </c>
      <c r="D217" s="501"/>
      <c r="E217" s="501"/>
      <c r="F217" s="502"/>
      <c r="G217" s="194">
        <v>2</v>
      </c>
      <c r="H217" s="198">
        <v>3</v>
      </c>
      <c r="I217" s="185">
        <v>40.44</v>
      </c>
      <c r="J217" s="495">
        <f t="shared" si="13"/>
        <v>26.96</v>
      </c>
      <c r="K217" s="496"/>
      <c r="M217" s="34"/>
    </row>
    <row r="218" spans="2:13" s="35" customFormat="1" ht="12.75">
      <c r="B218" s="38"/>
      <c r="C218" s="500" t="s">
        <v>423</v>
      </c>
      <c r="D218" s="501"/>
      <c r="E218" s="501"/>
      <c r="F218" s="502"/>
      <c r="G218" s="194">
        <v>15</v>
      </c>
      <c r="H218" s="198">
        <v>1</v>
      </c>
      <c r="I218" s="185">
        <v>38.45</v>
      </c>
      <c r="J218" s="495">
        <f t="shared" si="13"/>
        <v>576.75</v>
      </c>
      <c r="K218" s="496"/>
      <c r="M218" s="34"/>
    </row>
    <row r="219" spans="2:13" s="35" customFormat="1" ht="12.75">
      <c r="B219" s="38"/>
      <c r="C219" s="500" t="s">
        <v>424</v>
      </c>
      <c r="D219" s="501"/>
      <c r="E219" s="501"/>
      <c r="F219" s="502"/>
      <c r="G219" s="194">
        <v>25</v>
      </c>
      <c r="H219" s="198">
        <v>1</v>
      </c>
      <c r="I219" s="185">
        <v>27</v>
      </c>
      <c r="J219" s="495">
        <f t="shared" si="13"/>
        <v>675</v>
      </c>
      <c r="K219" s="496"/>
      <c r="M219" s="34"/>
    </row>
    <row r="220" spans="2:13" s="35" customFormat="1" ht="12.75">
      <c r="B220" s="38"/>
      <c r="C220" s="500" t="s">
        <v>426</v>
      </c>
      <c r="D220" s="501"/>
      <c r="E220" s="501"/>
      <c r="F220" s="502"/>
      <c r="G220" s="194">
        <v>10</v>
      </c>
      <c r="H220" s="198">
        <v>1</v>
      </c>
      <c r="I220" s="185">
        <v>85</v>
      </c>
      <c r="J220" s="495">
        <f t="shared" si="13"/>
        <v>850</v>
      </c>
      <c r="K220" s="496"/>
      <c r="M220" s="34"/>
    </row>
    <row r="221" spans="2:13" s="35" customFormat="1" ht="12.75">
      <c r="B221" s="38"/>
      <c r="C221" s="500" t="s">
        <v>425</v>
      </c>
      <c r="D221" s="501"/>
      <c r="E221" s="501"/>
      <c r="F221" s="502"/>
      <c r="G221" s="194">
        <v>10</v>
      </c>
      <c r="H221" s="198">
        <v>1</v>
      </c>
      <c r="I221" s="185">
        <v>97</v>
      </c>
      <c r="J221" s="495">
        <f t="shared" si="13"/>
        <v>970</v>
      </c>
      <c r="K221" s="496"/>
      <c r="M221" s="34"/>
    </row>
    <row r="222" spans="2:13" s="35" customFormat="1" ht="12.75">
      <c r="B222" s="38"/>
      <c r="C222" s="500" t="s">
        <v>338</v>
      </c>
      <c r="D222" s="501"/>
      <c r="E222" s="501"/>
      <c r="F222" s="502"/>
      <c r="G222" s="194">
        <v>10</v>
      </c>
      <c r="H222" s="148">
        <v>1</v>
      </c>
      <c r="I222" s="185">
        <v>12.61</v>
      </c>
      <c r="J222" s="495">
        <f>G222*I222/H222</f>
        <v>126.1</v>
      </c>
      <c r="K222" s="496"/>
      <c r="M222" s="34"/>
    </row>
    <row r="223" spans="2:13" s="35" customFormat="1" ht="13.5" customHeight="1">
      <c r="B223" s="38"/>
      <c r="C223" s="500" t="s">
        <v>294</v>
      </c>
      <c r="D223" s="501"/>
      <c r="E223" s="501"/>
      <c r="F223" s="502"/>
      <c r="G223" s="194">
        <v>1</v>
      </c>
      <c r="H223" s="148">
        <v>12</v>
      </c>
      <c r="I223" s="185">
        <f>'1. Forn. de Mudas e Plantio'!I112</f>
        <v>2350</v>
      </c>
      <c r="J223" s="495">
        <f>G223*I223/H223</f>
        <v>195.83</v>
      </c>
      <c r="K223" s="496"/>
      <c r="M223" s="34"/>
    </row>
    <row r="224" spans="2:13" s="35" customFormat="1" ht="13.5" customHeight="1">
      <c r="B224" s="38"/>
      <c r="C224" s="500" t="s">
        <v>295</v>
      </c>
      <c r="D224" s="501"/>
      <c r="E224" s="501"/>
      <c r="F224" s="502"/>
      <c r="G224" s="194">
        <v>3</v>
      </c>
      <c r="H224" s="148">
        <v>12</v>
      </c>
      <c r="I224" s="185">
        <f>'1. Forn. de Mudas e Plantio'!I113</f>
        <v>370.71</v>
      </c>
      <c r="J224" s="495">
        <f>G224*I224/H224</f>
        <v>92.68</v>
      </c>
      <c r="K224" s="496"/>
      <c r="M224" s="34"/>
    </row>
    <row r="225" spans="2:13" s="35" customFormat="1" ht="13.5" customHeight="1">
      <c r="B225" s="38"/>
      <c r="C225" s="503" t="s">
        <v>297</v>
      </c>
      <c r="D225" s="504"/>
      <c r="E225" s="504"/>
      <c r="F225" s="505"/>
      <c r="G225" s="194">
        <v>1</v>
      </c>
      <c r="H225" s="148">
        <v>12</v>
      </c>
      <c r="I225" s="185">
        <f>'1. Forn. de Mudas e Plantio'!I114</f>
        <v>106.78</v>
      </c>
      <c r="J225" s="495">
        <f>G225*I225/H225</f>
        <v>8.9</v>
      </c>
      <c r="K225" s="496"/>
      <c r="M225" s="34"/>
    </row>
    <row r="226" spans="2:13" s="35" customFormat="1" ht="13.5" customHeight="1">
      <c r="B226" s="38"/>
      <c r="C226" s="500" t="s">
        <v>296</v>
      </c>
      <c r="D226" s="501"/>
      <c r="E226" s="501"/>
      <c r="F226" s="502"/>
      <c r="G226" s="194">
        <v>2</v>
      </c>
      <c r="H226" s="148">
        <v>1</v>
      </c>
      <c r="I226" s="185">
        <f>'1. Forn. de Mudas e Plantio'!I115</f>
        <v>70</v>
      </c>
      <c r="J226" s="495">
        <f>G226*I226/H226</f>
        <v>140</v>
      </c>
      <c r="K226" s="496"/>
      <c r="M226" s="34"/>
    </row>
    <row r="227" spans="2:13" s="35" customFormat="1" ht="13.5" customHeight="1">
      <c r="B227" s="38"/>
      <c r="C227" s="500"/>
      <c r="D227" s="501"/>
      <c r="E227" s="501"/>
      <c r="F227" s="502"/>
      <c r="G227" s="194"/>
      <c r="H227" s="148"/>
      <c r="I227" s="185"/>
      <c r="J227" s="495"/>
      <c r="K227" s="496"/>
      <c r="M227" s="34"/>
    </row>
    <row r="228" spans="2:14" ht="15" customHeight="1">
      <c r="B228" s="109"/>
      <c r="C228" s="101" t="s">
        <v>300</v>
      </c>
      <c r="D228" s="102"/>
      <c r="E228" s="110"/>
      <c r="F228" s="102"/>
      <c r="G228" s="110"/>
      <c r="H228" s="102"/>
      <c r="I228" s="151"/>
      <c r="J228" s="418">
        <f>SUM(J195:K227)</f>
        <v>6719.4</v>
      </c>
      <c r="K228" s="413"/>
      <c r="L228" s="69"/>
      <c r="M228" s="70"/>
      <c r="N228" s="153"/>
    </row>
    <row r="229" spans="2:14" ht="15" customHeight="1">
      <c r="B229" s="109"/>
      <c r="C229" s="111"/>
      <c r="D229" s="112"/>
      <c r="E229" s="111"/>
      <c r="F229" s="112"/>
      <c r="G229" s="111"/>
      <c r="H229" s="112"/>
      <c r="I229" s="91"/>
      <c r="J229" s="192"/>
      <c r="K229" s="199"/>
      <c r="L229" s="69"/>
      <c r="M229" s="70"/>
      <c r="N229" s="153"/>
    </row>
    <row r="230" spans="2:14" ht="15" customHeight="1">
      <c r="B230" s="109"/>
      <c r="C230" s="111"/>
      <c r="D230" s="112"/>
      <c r="E230" s="111"/>
      <c r="F230" s="112"/>
      <c r="G230" s="111"/>
      <c r="H230" s="112"/>
      <c r="I230" s="91"/>
      <c r="J230" s="154"/>
      <c r="K230" s="154"/>
      <c r="L230" s="69"/>
      <c r="M230" s="70"/>
      <c r="N230" s="153"/>
    </row>
    <row r="231" spans="2:13" s="35" customFormat="1" ht="15" customHeight="1">
      <c r="B231" s="38"/>
      <c r="C231" s="115" t="s">
        <v>242</v>
      </c>
      <c r="D231" s="64"/>
      <c r="E231" s="99"/>
      <c r="F231" s="64"/>
      <c r="G231" s="99"/>
      <c r="H231" s="64"/>
      <c r="I231" s="137"/>
      <c r="J231" s="39"/>
      <c r="K231" s="34"/>
      <c r="M231" s="34"/>
    </row>
    <row r="232" spans="2:13" s="35" customFormat="1" ht="15" customHeight="1">
      <c r="B232" s="38"/>
      <c r="C232" s="115"/>
      <c r="D232" s="64"/>
      <c r="E232" s="99"/>
      <c r="F232" s="64"/>
      <c r="G232" s="99"/>
      <c r="H232" s="64"/>
      <c r="I232" s="137"/>
      <c r="J232" s="39"/>
      <c r="K232" s="34"/>
      <c r="M232" s="34"/>
    </row>
    <row r="233" spans="2:13" s="35" customFormat="1" ht="15" customHeight="1">
      <c r="B233" s="38"/>
      <c r="C233" s="421" t="s">
        <v>136</v>
      </c>
      <c r="D233" s="419"/>
      <c r="E233" s="420"/>
      <c r="F233" s="47" t="s">
        <v>210</v>
      </c>
      <c r="G233" s="421" t="s">
        <v>48</v>
      </c>
      <c r="H233" s="420"/>
      <c r="I233" s="155" t="s">
        <v>138</v>
      </c>
      <c r="J233" s="421" t="s">
        <v>135</v>
      </c>
      <c r="K233" s="420"/>
      <c r="M233" s="34"/>
    </row>
    <row r="234" spans="2:13" s="35" customFormat="1" ht="12.75">
      <c r="B234" s="38"/>
      <c r="C234" s="397" t="s">
        <v>340</v>
      </c>
      <c r="D234" s="398"/>
      <c r="E234" s="399"/>
      <c r="F234" s="51" t="s">
        <v>212</v>
      </c>
      <c r="G234" s="395">
        <f>'Outros Insumos'!E35</f>
        <v>50</v>
      </c>
      <c r="H234" s="396"/>
      <c r="I234" s="150">
        <f>'Outros Insumos'!G35</f>
        <v>9</v>
      </c>
      <c r="J234" s="395">
        <f>I234*G234</f>
        <v>450</v>
      </c>
      <c r="K234" s="396"/>
      <c r="M234" s="34"/>
    </row>
    <row r="235" spans="2:13" s="35" customFormat="1" ht="12.75">
      <c r="B235" s="38"/>
      <c r="C235" s="397" t="s">
        <v>341</v>
      </c>
      <c r="D235" s="398"/>
      <c r="E235" s="399"/>
      <c r="F235" s="51" t="s">
        <v>212</v>
      </c>
      <c r="G235" s="395">
        <f>'Outros Insumos'!E36</f>
        <v>110</v>
      </c>
      <c r="H235" s="396"/>
      <c r="I235" s="150">
        <f>'Outros Insumos'!G36</f>
        <v>9.2</v>
      </c>
      <c r="J235" s="395">
        <f aca="true" t="shared" si="14" ref="J235:J241">I235*G235</f>
        <v>1012</v>
      </c>
      <c r="K235" s="396"/>
      <c r="M235" s="34"/>
    </row>
    <row r="236" spans="2:13" s="35" customFormat="1" ht="24" customHeight="1">
      <c r="B236" s="38"/>
      <c r="C236" s="397" t="s">
        <v>342</v>
      </c>
      <c r="D236" s="398"/>
      <c r="E236" s="399"/>
      <c r="F236" s="51" t="s">
        <v>212</v>
      </c>
      <c r="G236" s="395">
        <f>'Outros Insumos'!E37</f>
        <v>110</v>
      </c>
      <c r="H236" s="396"/>
      <c r="I236" s="150">
        <f>'Outros Insumos'!G37</f>
        <v>8.06</v>
      </c>
      <c r="J236" s="395">
        <f t="shared" si="14"/>
        <v>886.6</v>
      </c>
      <c r="K236" s="396"/>
      <c r="M236" s="34"/>
    </row>
    <row r="237" spans="2:13" s="35" customFormat="1" ht="12.75">
      <c r="B237" s="38"/>
      <c r="C237" s="397" t="s">
        <v>343</v>
      </c>
      <c r="D237" s="398"/>
      <c r="E237" s="399"/>
      <c r="F237" s="51" t="s">
        <v>212</v>
      </c>
      <c r="G237" s="395">
        <f>'Outros Insumos'!E32</f>
        <v>60</v>
      </c>
      <c r="H237" s="396"/>
      <c r="I237" s="150">
        <f>'Outros Insumos'!G32</f>
        <v>3.69</v>
      </c>
      <c r="J237" s="395">
        <f t="shared" si="14"/>
        <v>221.4</v>
      </c>
      <c r="K237" s="396"/>
      <c r="M237" s="34"/>
    </row>
    <row r="238" spans="2:13" s="35" customFormat="1" ht="12.75">
      <c r="B238" s="38"/>
      <c r="C238" s="397" t="s">
        <v>344</v>
      </c>
      <c r="D238" s="398"/>
      <c r="E238" s="399"/>
      <c r="F238" s="51" t="s">
        <v>212</v>
      </c>
      <c r="G238" s="395">
        <f>'Outros Insumos'!E38</f>
        <v>10</v>
      </c>
      <c r="H238" s="396"/>
      <c r="I238" s="150">
        <f>'Outros Insumos'!G38</f>
        <v>30.22</v>
      </c>
      <c r="J238" s="395">
        <f t="shared" si="14"/>
        <v>302.2</v>
      </c>
      <c r="K238" s="396"/>
      <c r="M238" s="34"/>
    </row>
    <row r="239" spans="2:13" s="35" customFormat="1" ht="12.75">
      <c r="B239" s="38"/>
      <c r="C239" s="397" t="s">
        <v>345</v>
      </c>
      <c r="D239" s="398"/>
      <c r="E239" s="399"/>
      <c r="F239" s="51" t="s">
        <v>212</v>
      </c>
      <c r="G239" s="395">
        <f>'Outros Insumos'!E39</f>
        <v>10</v>
      </c>
      <c r="H239" s="396"/>
      <c r="I239" s="150">
        <f>'Outros Insumos'!G39</f>
        <v>55.5</v>
      </c>
      <c r="J239" s="395">
        <f t="shared" si="14"/>
        <v>555</v>
      </c>
      <c r="K239" s="396"/>
      <c r="M239" s="34"/>
    </row>
    <row r="240" spans="2:13" s="35" customFormat="1" ht="12.75">
      <c r="B240" s="38"/>
      <c r="C240" s="397" t="s">
        <v>346</v>
      </c>
      <c r="D240" s="398"/>
      <c r="E240" s="399"/>
      <c r="F240" s="51" t="s">
        <v>348</v>
      </c>
      <c r="G240" s="395">
        <f>'Outros Insumos'!E40</f>
        <v>10</v>
      </c>
      <c r="H240" s="396"/>
      <c r="I240" s="150">
        <f>'Outros Insumos'!G40</f>
        <v>46.23</v>
      </c>
      <c r="J240" s="395">
        <f>I240*G240</f>
        <v>462.3</v>
      </c>
      <c r="K240" s="396"/>
      <c r="M240" s="34"/>
    </row>
    <row r="241" spans="2:13" s="35" customFormat="1" ht="12.75">
      <c r="B241" s="38"/>
      <c r="C241" s="397" t="s">
        <v>347</v>
      </c>
      <c r="D241" s="398"/>
      <c r="E241" s="399"/>
      <c r="F241" s="51" t="s">
        <v>212</v>
      </c>
      <c r="G241" s="395">
        <f>'Outros Insumos'!E30/2</f>
        <v>212.5</v>
      </c>
      <c r="H241" s="396"/>
      <c r="I241" s="150">
        <f>'Outros Insumos'!G30</f>
        <v>4.03</v>
      </c>
      <c r="J241" s="395">
        <f t="shared" si="14"/>
        <v>856.38</v>
      </c>
      <c r="K241" s="396"/>
      <c r="M241" s="34"/>
    </row>
    <row r="242" spans="2:14" ht="15" customHeight="1">
      <c r="B242" s="109"/>
      <c r="C242" s="101" t="s">
        <v>117</v>
      </c>
      <c r="D242" s="102"/>
      <c r="E242" s="110"/>
      <c r="F242" s="102"/>
      <c r="G242" s="110"/>
      <c r="H242" s="102"/>
      <c r="I242" s="151"/>
      <c r="J242" s="418">
        <f>SUM(J234:K241)</f>
        <v>4745.88</v>
      </c>
      <c r="K242" s="413"/>
      <c r="L242" s="69"/>
      <c r="M242" s="70"/>
      <c r="N242" s="153"/>
    </row>
    <row r="243" spans="2:14" ht="15" customHeight="1">
      <c r="B243" s="109"/>
      <c r="C243" s="111"/>
      <c r="D243" s="112"/>
      <c r="E243" s="111"/>
      <c r="F243" s="112"/>
      <c r="G243" s="111"/>
      <c r="H243" s="112"/>
      <c r="I243" s="91"/>
      <c r="J243" s="192"/>
      <c r="K243" s="192"/>
      <c r="L243" s="69"/>
      <c r="M243" s="70"/>
      <c r="N243" s="153"/>
    </row>
    <row r="244" spans="3:14" ht="15" customHeight="1">
      <c r="C244" s="99"/>
      <c r="D244" s="64"/>
      <c r="E244" s="99"/>
      <c r="F244" s="64"/>
      <c r="G244" s="99"/>
      <c r="H244" s="64"/>
      <c r="I244" s="137"/>
      <c r="J244" s="99"/>
      <c r="N244" s="153"/>
    </row>
    <row r="245" spans="3:14" ht="15" customHeight="1">
      <c r="C245" s="166" t="s">
        <v>176</v>
      </c>
      <c r="D245" s="72"/>
      <c r="E245" s="108"/>
      <c r="F245" s="72"/>
      <c r="G245" s="108"/>
      <c r="H245" s="72"/>
      <c r="I245" s="167"/>
      <c r="J245" s="39"/>
      <c r="N245" s="153"/>
    </row>
    <row r="246" spans="3:14" ht="15" customHeight="1">
      <c r="C246" s="168" t="s">
        <v>50</v>
      </c>
      <c r="D246" s="169"/>
      <c r="E246" s="149"/>
      <c r="F246" s="169"/>
      <c r="G246" s="149"/>
      <c r="H246" s="131"/>
      <c r="I246" s="170">
        <f>H128</f>
        <v>27222.78</v>
      </c>
      <c r="J246" s="39"/>
      <c r="N246" s="153"/>
    </row>
    <row r="247" spans="3:14" ht="15" customHeight="1">
      <c r="C247" s="71" t="s">
        <v>154</v>
      </c>
      <c r="D247" s="72"/>
      <c r="E247" s="108"/>
      <c r="F247" s="72"/>
      <c r="G247" s="108"/>
      <c r="H247" s="53"/>
      <c r="I247" s="171">
        <f>J189</f>
        <v>22306.67</v>
      </c>
      <c r="J247" s="39"/>
      <c r="N247" s="153"/>
    </row>
    <row r="248" spans="3:14" ht="15" customHeight="1">
      <c r="C248" s="105" t="s">
        <v>64</v>
      </c>
      <c r="D248" s="39"/>
      <c r="E248" s="91"/>
      <c r="F248" s="39"/>
      <c r="G248" s="91"/>
      <c r="H248" s="134"/>
      <c r="I248" s="172">
        <f>J228</f>
        <v>6719.4</v>
      </c>
      <c r="J248" s="39"/>
      <c r="N248" s="153"/>
    </row>
    <row r="249" spans="3:14" ht="15" customHeight="1">
      <c r="C249" s="105" t="s">
        <v>251</v>
      </c>
      <c r="D249" s="39"/>
      <c r="E249" s="91"/>
      <c r="F249" s="39"/>
      <c r="G249" s="91"/>
      <c r="H249" s="134"/>
      <c r="I249" s="172">
        <f>J242</f>
        <v>4745.88</v>
      </c>
      <c r="J249" s="39"/>
      <c r="N249" s="153"/>
    </row>
    <row r="250" spans="2:14" ht="15" customHeight="1">
      <c r="B250" s="109"/>
      <c r="C250" s="101" t="s">
        <v>141</v>
      </c>
      <c r="D250" s="102"/>
      <c r="E250" s="110"/>
      <c r="F250" s="102"/>
      <c r="G250" s="110"/>
      <c r="H250" s="173"/>
      <c r="I250" s="174">
        <f>SUM(I246:I248)</f>
        <v>56248.85</v>
      </c>
      <c r="J250" s="111"/>
      <c r="K250" s="70"/>
      <c r="L250" s="69"/>
      <c r="M250" s="70"/>
      <c r="N250" s="153"/>
    </row>
    <row r="251" spans="2:11" ht="15" customHeight="1">
      <c r="B251" s="109"/>
      <c r="C251" s="123"/>
      <c r="D251" s="175"/>
      <c r="E251" s="123"/>
      <c r="F251" s="175"/>
      <c r="G251" s="123"/>
      <c r="H251" s="175"/>
      <c r="I251" s="176"/>
      <c r="J251" s="112"/>
      <c r="K251" s="70"/>
    </row>
    <row r="252" spans="2:13" ht="12.75">
      <c r="B252" s="177"/>
      <c r="C252" s="421" t="s">
        <v>231</v>
      </c>
      <c r="D252" s="419"/>
      <c r="E252" s="419"/>
      <c r="F252" s="419"/>
      <c r="G252" s="419"/>
      <c r="H252" s="420"/>
      <c r="I252" s="421">
        <f>I250</f>
        <v>56248.85</v>
      </c>
      <c r="J252" s="420"/>
      <c r="K252" s="64"/>
      <c r="L252" s="64"/>
      <c r="M252" s="178"/>
    </row>
    <row r="253" spans="2:12" ht="12.75">
      <c r="B253" s="114"/>
      <c r="C253" s="421" t="s">
        <v>65</v>
      </c>
      <c r="D253" s="419"/>
      <c r="E253" s="419"/>
      <c r="F253" s="419"/>
      <c r="G253" s="419"/>
      <c r="H253" s="420"/>
      <c r="I253" s="476">
        <f>'BDI REF. SLU'!B14</f>
        <v>0.3512</v>
      </c>
      <c r="J253" s="477"/>
      <c r="K253" s="91"/>
      <c r="L253" s="39"/>
    </row>
    <row r="254" spans="2:12" ht="12.75">
      <c r="B254" s="114"/>
      <c r="C254" s="421" t="s">
        <v>232</v>
      </c>
      <c r="D254" s="419"/>
      <c r="E254" s="419"/>
      <c r="F254" s="419"/>
      <c r="G254" s="419"/>
      <c r="H254" s="420"/>
      <c r="I254" s="421">
        <f>ROUND(I252*(I253),2)-1</f>
        <v>19753.6</v>
      </c>
      <c r="J254" s="420"/>
      <c r="K254" s="64"/>
      <c r="L254" s="179"/>
    </row>
    <row r="255" spans="2:12" ht="12.75">
      <c r="B255" s="114"/>
      <c r="C255" s="421" t="s">
        <v>233</v>
      </c>
      <c r="D255" s="419"/>
      <c r="E255" s="419"/>
      <c r="F255" s="419"/>
      <c r="G255" s="419"/>
      <c r="H255" s="420"/>
      <c r="I255" s="421">
        <f>I252+I254</f>
        <v>76002.45</v>
      </c>
      <c r="J255" s="420"/>
      <c r="K255" s="64"/>
      <c r="L255" s="39"/>
    </row>
    <row r="256" spans="2:14" ht="12.75">
      <c r="B256" s="114"/>
      <c r="C256" s="421" t="s">
        <v>51</v>
      </c>
      <c r="D256" s="419"/>
      <c r="E256" s="419"/>
      <c r="F256" s="419"/>
      <c r="G256" s="419"/>
      <c r="H256" s="420"/>
      <c r="I256" s="421">
        <v>1</v>
      </c>
      <c r="J256" s="420"/>
      <c r="K256" s="64"/>
      <c r="L256" s="39"/>
      <c r="M256" s="91"/>
      <c r="N256" s="39"/>
    </row>
    <row r="257" spans="2:14" ht="12.75">
      <c r="B257" s="114"/>
      <c r="C257" s="421" t="s">
        <v>52</v>
      </c>
      <c r="D257" s="419"/>
      <c r="E257" s="419"/>
      <c r="F257" s="419"/>
      <c r="G257" s="419"/>
      <c r="H257" s="420"/>
      <c r="I257" s="421">
        <f>I255/I256</f>
        <v>76002.45</v>
      </c>
      <c r="J257" s="420"/>
      <c r="K257" s="64"/>
      <c r="L257" s="39"/>
      <c r="M257" s="91"/>
      <c r="N257" s="39"/>
    </row>
    <row r="258" spans="2:14" ht="15" customHeight="1">
      <c r="B258" s="114"/>
      <c r="C258" s="111"/>
      <c r="D258" s="112"/>
      <c r="E258" s="111"/>
      <c r="F258" s="112"/>
      <c r="G258" s="111"/>
      <c r="H258" s="112"/>
      <c r="I258" s="113"/>
      <c r="J258" s="175"/>
      <c r="K258" s="123"/>
      <c r="L258" s="39"/>
      <c r="M258" s="91"/>
      <c r="N258" s="39"/>
    </row>
    <row r="259" spans="2:12" ht="19.5" customHeight="1">
      <c r="B259" s="114"/>
      <c r="C259" s="123"/>
      <c r="D259" s="175"/>
      <c r="E259" s="123"/>
      <c r="F259" s="175"/>
      <c r="G259" s="123"/>
      <c r="H259" s="175"/>
      <c r="I259" s="123"/>
      <c r="J259" s="175"/>
      <c r="K259" s="123"/>
      <c r="L259" s="39"/>
    </row>
    <row r="260" spans="2:12" ht="19.5" customHeight="1">
      <c r="B260" s="114"/>
      <c r="C260" s="123"/>
      <c r="D260" s="175"/>
      <c r="E260" s="123"/>
      <c r="F260" s="175"/>
      <c r="G260" s="123"/>
      <c r="H260" s="175"/>
      <c r="I260" s="123"/>
      <c r="J260" s="175"/>
      <c r="K260" s="123"/>
      <c r="L260" s="39"/>
    </row>
    <row r="261" spans="2:12" ht="19.5" customHeight="1">
      <c r="B261" s="114"/>
      <c r="C261" s="123"/>
      <c r="D261" s="175"/>
      <c r="E261" s="123"/>
      <c r="F261" s="175"/>
      <c r="G261" s="123"/>
      <c r="H261" s="175"/>
      <c r="I261" s="123"/>
      <c r="J261" s="175"/>
      <c r="K261" s="123"/>
      <c r="L261" s="39"/>
    </row>
  </sheetData>
  <sheetProtection/>
  <mergeCells count="241">
    <mergeCell ref="E127:F127"/>
    <mergeCell ref="G126:H126"/>
    <mergeCell ref="G127:H127"/>
    <mergeCell ref="E125:F125"/>
    <mergeCell ref="G125:H125"/>
    <mergeCell ref="C15:K15"/>
    <mergeCell ref="C16:F16"/>
    <mergeCell ref="H16:I16"/>
    <mergeCell ref="J16:K16"/>
    <mergeCell ref="C17:F17"/>
    <mergeCell ref="H17:I17"/>
    <mergeCell ref="J17:K17"/>
    <mergeCell ref="C134:E134"/>
    <mergeCell ref="C31:F31"/>
    <mergeCell ref="H31:I31"/>
    <mergeCell ref="J31:K31"/>
    <mergeCell ref="H32:I32"/>
    <mergeCell ref="H33:I33"/>
    <mergeCell ref="H34:I34"/>
    <mergeCell ref="J33:K33"/>
    <mergeCell ref="C34:F34"/>
    <mergeCell ref="J34:K34"/>
    <mergeCell ref="C30:K30"/>
    <mergeCell ref="H133:I133"/>
    <mergeCell ref="C32:F32"/>
    <mergeCell ref="H45:I45"/>
    <mergeCell ref="C125:D125"/>
    <mergeCell ref="C126:D126"/>
    <mergeCell ref="G124:H124"/>
    <mergeCell ref="C40:F40"/>
    <mergeCell ref="C127:D127"/>
    <mergeCell ref="E126:F126"/>
    <mergeCell ref="C255:H255"/>
    <mergeCell ref="I255:J255"/>
    <mergeCell ref="C256:H256"/>
    <mergeCell ref="I256:J256"/>
    <mergeCell ref="G236:H236"/>
    <mergeCell ref="J236:K236"/>
    <mergeCell ref="C226:F226"/>
    <mergeCell ref="J226:K226"/>
    <mergeCell ref="C257:H257"/>
    <mergeCell ref="I257:J257"/>
    <mergeCell ref="C253:H253"/>
    <mergeCell ref="I253:J253"/>
    <mergeCell ref="C233:E233"/>
    <mergeCell ref="G233:H233"/>
    <mergeCell ref="J233:K233"/>
    <mergeCell ref="C254:H254"/>
    <mergeCell ref="I254:J254"/>
    <mergeCell ref="C236:E236"/>
    <mergeCell ref="J228:K228"/>
    <mergeCell ref="C252:H252"/>
    <mergeCell ref="I252:J252"/>
    <mergeCell ref="C234:E234"/>
    <mergeCell ref="G234:H234"/>
    <mergeCell ref="J234:K234"/>
    <mergeCell ref="C237:E237"/>
    <mergeCell ref="G237:H237"/>
    <mergeCell ref="J237:K237"/>
    <mergeCell ref="C239:E239"/>
    <mergeCell ref="C224:F224"/>
    <mergeCell ref="J224:K224"/>
    <mergeCell ref="C225:F225"/>
    <mergeCell ref="J225:K225"/>
    <mergeCell ref="C227:F227"/>
    <mergeCell ref="J227:K227"/>
    <mergeCell ref="C208:F208"/>
    <mergeCell ref="J208:K208"/>
    <mergeCell ref="C209:F209"/>
    <mergeCell ref="J209:K209"/>
    <mergeCell ref="J211:K211"/>
    <mergeCell ref="J212:K212"/>
    <mergeCell ref="C211:F211"/>
    <mergeCell ref="C212:F212"/>
    <mergeCell ref="J210:K210"/>
    <mergeCell ref="C206:F206"/>
    <mergeCell ref="J206:K206"/>
    <mergeCell ref="C207:F207"/>
    <mergeCell ref="J207:K207"/>
    <mergeCell ref="C204:F204"/>
    <mergeCell ref="J204:K204"/>
    <mergeCell ref="C205:F205"/>
    <mergeCell ref="J205:K205"/>
    <mergeCell ref="J219:K219"/>
    <mergeCell ref="C223:F223"/>
    <mergeCell ref="J223:K223"/>
    <mergeCell ref="C216:F216"/>
    <mergeCell ref="C217:F217"/>
    <mergeCell ref="C218:F218"/>
    <mergeCell ref="C222:F222"/>
    <mergeCell ref="J222:K222"/>
    <mergeCell ref="C200:F200"/>
    <mergeCell ref="J200:K200"/>
    <mergeCell ref="C202:F202"/>
    <mergeCell ref="J202:K202"/>
    <mergeCell ref="J201:K201"/>
    <mergeCell ref="C203:F203"/>
    <mergeCell ref="J203:K203"/>
    <mergeCell ref="C201:F201"/>
    <mergeCell ref="C197:F197"/>
    <mergeCell ref="J197:K197"/>
    <mergeCell ref="J198:K198"/>
    <mergeCell ref="C198:F198"/>
    <mergeCell ref="C199:F199"/>
    <mergeCell ref="J199:K199"/>
    <mergeCell ref="C194:F194"/>
    <mergeCell ref="J194:K194"/>
    <mergeCell ref="C195:F195"/>
    <mergeCell ref="J195:K195"/>
    <mergeCell ref="C235:E235"/>
    <mergeCell ref="G235:H235"/>
    <mergeCell ref="J235:K235"/>
    <mergeCell ref="C219:F219"/>
    <mergeCell ref="C196:F196"/>
    <mergeCell ref="J196:K196"/>
    <mergeCell ref="C171:H171"/>
    <mergeCell ref="C178:I178"/>
    <mergeCell ref="C185:J185"/>
    <mergeCell ref="C186:I186"/>
    <mergeCell ref="C187:I187"/>
    <mergeCell ref="H128:I128"/>
    <mergeCell ref="C160:G160"/>
    <mergeCell ref="H134:I134"/>
    <mergeCell ref="H135:I135"/>
    <mergeCell ref="C161:G161"/>
    <mergeCell ref="C213:F213"/>
    <mergeCell ref="C214:F214"/>
    <mergeCell ref="C215:F215"/>
    <mergeCell ref="J220:K220"/>
    <mergeCell ref="J221:K221"/>
    <mergeCell ref="J213:K213"/>
    <mergeCell ref="J214:K214"/>
    <mergeCell ref="C220:F220"/>
    <mergeCell ref="C221:F221"/>
    <mergeCell ref="J218:K218"/>
    <mergeCell ref="C162:I162"/>
    <mergeCell ref="C144:H144"/>
    <mergeCell ref="C151:I151"/>
    <mergeCell ref="C188:I188"/>
    <mergeCell ref="C189:I189"/>
    <mergeCell ref="C123:D123"/>
    <mergeCell ref="E123:F123"/>
    <mergeCell ref="G123:H123"/>
    <mergeCell ref="C124:D124"/>
    <mergeCell ref="E124:F124"/>
    <mergeCell ref="C47:I47"/>
    <mergeCell ref="J47:K47"/>
    <mergeCell ref="J51:K51"/>
    <mergeCell ref="J105:K105"/>
    <mergeCell ref="C122:I122"/>
    <mergeCell ref="J69:K69"/>
    <mergeCell ref="J87:K87"/>
    <mergeCell ref="C46:I46"/>
    <mergeCell ref="J46:K46"/>
    <mergeCell ref="H43:I43"/>
    <mergeCell ref="J44:K44"/>
    <mergeCell ref="C45:F45"/>
    <mergeCell ref="J45:K45"/>
    <mergeCell ref="H44:I44"/>
    <mergeCell ref="J43:K43"/>
    <mergeCell ref="J41:K41"/>
    <mergeCell ref="J42:K42"/>
    <mergeCell ref="H40:I40"/>
    <mergeCell ref="H41:I41"/>
    <mergeCell ref="H42:I42"/>
    <mergeCell ref="C44:F44"/>
    <mergeCell ref="J32:K32"/>
    <mergeCell ref="C33:F33"/>
    <mergeCell ref="J37:K37"/>
    <mergeCell ref="J38:K38"/>
    <mergeCell ref="J39:K39"/>
    <mergeCell ref="H37:I37"/>
    <mergeCell ref="H38:I38"/>
    <mergeCell ref="H39:I39"/>
    <mergeCell ref="H35:I35"/>
    <mergeCell ref="C35:F35"/>
    <mergeCell ref="C36:F36"/>
    <mergeCell ref="J36:K36"/>
    <mergeCell ref="H36:I36"/>
    <mergeCell ref="C238:E238"/>
    <mergeCell ref="G238:H238"/>
    <mergeCell ref="J238:K238"/>
    <mergeCell ref="J215:K215"/>
    <mergeCell ref="J216:K216"/>
    <mergeCell ref="J217:K217"/>
    <mergeCell ref="J40:K40"/>
    <mergeCell ref="G239:H239"/>
    <mergeCell ref="J239:K239"/>
    <mergeCell ref="H24:I24"/>
    <mergeCell ref="J24:K24"/>
    <mergeCell ref="C25:F25"/>
    <mergeCell ref="H25:I25"/>
    <mergeCell ref="J25:K25"/>
    <mergeCell ref="C27:I27"/>
    <mergeCell ref="C26:F26"/>
    <mergeCell ref="J35:K35"/>
    <mergeCell ref="C21:F21"/>
    <mergeCell ref="H21:I21"/>
    <mergeCell ref="J21:K21"/>
    <mergeCell ref="C28:I28"/>
    <mergeCell ref="H22:I22"/>
    <mergeCell ref="J22:K22"/>
    <mergeCell ref="H23:I23"/>
    <mergeCell ref="J23:K23"/>
    <mergeCell ref="J27:K27"/>
    <mergeCell ref="J28:K28"/>
    <mergeCell ref="J242:K242"/>
    <mergeCell ref="C240:E240"/>
    <mergeCell ref="G240:H240"/>
    <mergeCell ref="J240:K240"/>
    <mergeCell ref="C210:F210"/>
    <mergeCell ref="C18:F18"/>
    <mergeCell ref="H18:I18"/>
    <mergeCell ref="J18:K18"/>
    <mergeCell ref="C19:F19"/>
    <mergeCell ref="H19:I19"/>
    <mergeCell ref="J11:K11"/>
    <mergeCell ref="C241:E241"/>
    <mergeCell ref="G241:H241"/>
    <mergeCell ref="J241:K241"/>
    <mergeCell ref="J19:K19"/>
    <mergeCell ref="C20:F20"/>
    <mergeCell ref="H20:I20"/>
    <mergeCell ref="J20:K20"/>
    <mergeCell ref="H26:I26"/>
    <mergeCell ref="J26:K26"/>
    <mergeCell ref="C9:G9"/>
    <mergeCell ref="H9:I9"/>
    <mergeCell ref="C10:G10"/>
    <mergeCell ref="H10:I10"/>
    <mergeCell ref="C11:G11"/>
    <mergeCell ref="H11:I11"/>
    <mergeCell ref="C1:J1"/>
    <mergeCell ref="D3:J3"/>
    <mergeCell ref="C6:G6"/>
    <mergeCell ref="H6:I6"/>
    <mergeCell ref="J6:K6"/>
    <mergeCell ref="C8:G8"/>
    <mergeCell ref="H8:I8"/>
    <mergeCell ref="J8:K8"/>
    <mergeCell ref="H7:I7"/>
  </mergeCells>
  <printOptions horizontalCentered="1"/>
  <pageMargins left="0.35433070866141736" right="0.31496062992125984" top="0.4330708661417323" bottom="1.0236220472440944" header="0.5118110236220472" footer="0.4724409448818898"/>
  <pageSetup fitToHeight="8" horizontalDpi="600" verticalDpi="600" orientation="portrait" paperSize="9" scale="80" r:id="rId1"/>
  <rowBreaks count="5" manualBreakCount="5">
    <brk id="48" max="255" man="1"/>
    <brk id="102" max="255" man="1"/>
    <brk id="150" max="255" man="1"/>
    <brk id="191" max="255" man="1"/>
    <brk id="2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O124"/>
  <sheetViews>
    <sheetView showGridLines="0" view="pageBreakPreview" zoomScale="130" zoomScaleSheetLayoutView="130" zoomScalePageLayoutView="0" workbookViewId="0" topLeftCell="A97">
      <selection activeCell="I102" sqref="I102"/>
    </sheetView>
  </sheetViews>
  <sheetFormatPr defaultColWidth="8.7109375" defaultRowHeight="19.5" customHeight="1"/>
  <cols>
    <col min="1" max="1" width="2.7109375" style="34" customWidth="1"/>
    <col min="2" max="2" width="3.28125" style="38" customWidth="1"/>
    <col min="3" max="3" width="13.7109375" style="34" customWidth="1"/>
    <col min="4" max="4" width="16.57421875" style="35" customWidth="1"/>
    <col min="5" max="5" width="12.8515625" style="34" customWidth="1"/>
    <col min="6" max="6" width="10.7109375" style="35" customWidth="1"/>
    <col min="7" max="7" width="17.140625" style="34" customWidth="1"/>
    <col min="8" max="8" width="10.7109375" style="35" customWidth="1"/>
    <col min="9" max="9" width="15.57421875" style="34" customWidth="1"/>
    <col min="10" max="10" width="15.421875" style="35" customWidth="1"/>
    <col min="11" max="11" width="3.57421875" style="34" customWidth="1"/>
    <col min="12" max="12" width="4.421875" style="35" customWidth="1"/>
    <col min="13" max="13" width="7.8515625" style="34" customWidth="1"/>
    <col min="14" max="14" width="4.7109375" style="35" customWidth="1"/>
    <col min="15" max="15" width="11.28125" style="34" customWidth="1"/>
    <col min="16" max="16384" width="8.7109375" style="34" customWidth="1"/>
  </cols>
  <sheetData>
    <row r="1" spans="2:15" s="20" customFormat="1" ht="24.75" customHeight="1">
      <c r="B1" s="17"/>
      <c r="C1" s="400" t="s">
        <v>213</v>
      </c>
      <c r="D1" s="401"/>
      <c r="E1" s="401"/>
      <c r="F1" s="401"/>
      <c r="G1" s="401"/>
      <c r="H1" s="401"/>
      <c r="I1" s="401"/>
      <c r="J1" s="402"/>
      <c r="K1" s="18"/>
      <c r="L1" s="18"/>
      <c r="M1" s="17"/>
      <c r="N1" s="19"/>
      <c r="O1" s="19"/>
    </row>
    <row r="2" spans="2:15" s="20" customFormat="1" ht="17.25" customHeight="1">
      <c r="B2" s="17"/>
      <c r="C2" s="21"/>
      <c r="D2" s="21"/>
      <c r="E2" s="21"/>
      <c r="F2" s="21"/>
      <c r="G2" s="21"/>
      <c r="H2" s="21"/>
      <c r="I2" s="21"/>
      <c r="J2" s="21"/>
      <c r="K2" s="21"/>
      <c r="L2" s="21"/>
      <c r="M2" s="17"/>
      <c r="N2" s="19"/>
      <c r="O2" s="19"/>
    </row>
    <row r="3" spans="3:14" s="20" customFormat="1" ht="19.5">
      <c r="C3" s="22" t="s">
        <v>130</v>
      </c>
      <c r="D3" s="403" t="str">
        <f>'Planilha de Preços'!B7</f>
        <v>EQUIPE PADRÃO PARA EXECUÇÃO DE SERVIÇOS IRRIGAÇÃO</v>
      </c>
      <c r="E3" s="403"/>
      <c r="F3" s="403"/>
      <c r="G3" s="403"/>
      <c r="H3" s="403"/>
      <c r="I3" s="403"/>
      <c r="J3" s="404"/>
      <c r="K3" s="23"/>
      <c r="L3" s="24"/>
      <c r="M3" s="25"/>
      <c r="N3" s="26"/>
    </row>
    <row r="4" spans="3:14" s="20" customFormat="1" ht="18" customHeight="1">
      <c r="C4" s="27"/>
      <c r="D4" s="27"/>
      <c r="E4" s="27"/>
      <c r="F4" s="27"/>
      <c r="G4" s="27"/>
      <c r="H4" s="27"/>
      <c r="I4" s="27"/>
      <c r="J4" s="28">
        <v>44440</v>
      </c>
      <c r="K4" s="29"/>
      <c r="L4" s="29"/>
      <c r="N4" s="26"/>
    </row>
    <row r="5" spans="2:14" ht="15" customHeight="1">
      <c r="B5" s="30"/>
      <c r="C5" s="35"/>
      <c r="E5" s="35"/>
      <c r="G5" s="36"/>
      <c r="H5" s="36"/>
      <c r="I5" s="37"/>
      <c r="J5" s="37"/>
      <c r="K5" s="31"/>
      <c r="L5" s="32"/>
      <c r="M5" s="33"/>
      <c r="N5" s="33"/>
    </row>
    <row r="6" spans="3:11" ht="15" customHeight="1">
      <c r="C6" s="442" t="s">
        <v>34</v>
      </c>
      <c r="D6" s="443"/>
      <c r="E6" s="443"/>
      <c r="F6" s="443"/>
      <c r="G6" s="444"/>
      <c r="H6" s="446" t="s">
        <v>88</v>
      </c>
      <c r="I6" s="447"/>
      <c r="J6" s="445"/>
      <c r="K6" s="445"/>
    </row>
    <row r="7" spans="3:11" ht="15" customHeight="1">
      <c r="C7" s="449" t="s">
        <v>359</v>
      </c>
      <c r="D7" s="450"/>
      <c r="E7" s="450"/>
      <c r="F7" s="450"/>
      <c r="G7" s="451"/>
      <c r="H7" s="392">
        <v>1</v>
      </c>
      <c r="I7" s="393"/>
      <c r="J7" s="43"/>
      <c r="K7" s="43"/>
    </row>
    <row r="8" spans="3:11" ht="15" customHeight="1">
      <c r="C8" s="449" t="s">
        <v>360</v>
      </c>
      <c r="D8" s="450"/>
      <c r="E8" s="450"/>
      <c r="F8" s="450"/>
      <c r="G8" s="451"/>
      <c r="H8" s="392">
        <v>1</v>
      </c>
      <c r="I8" s="393"/>
      <c r="J8" s="43"/>
      <c r="K8" s="43"/>
    </row>
    <row r="9" spans="3:11" ht="15" customHeight="1">
      <c r="C9" s="453" t="s">
        <v>1</v>
      </c>
      <c r="D9" s="454"/>
      <c r="E9" s="454"/>
      <c r="F9" s="454"/>
      <c r="G9" s="455"/>
      <c r="H9" s="456">
        <f>SUM(H7:I8)</f>
        <v>2</v>
      </c>
      <c r="I9" s="457"/>
      <c r="J9" s="461"/>
      <c r="K9" s="461"/>
    </row>
    <row r="10" spans="3:11" ht="9" customHeight="1">
      <c r="C10" s="44"/>
      <c r="D10" s="44"/>
      <c r="E10" s="44"/>
      <c r="F10" s="44"/>
      <c r="G10" s="44"/>
      <c r="H10" s="45"/>
      <c r="I10" s="45"/>
      <c r="J10" s="43"/>
      <c r="K10" s="43"/>
    </row>
    <row r="11" ht="15" customHeight="1">
      <c r="C11" s="46" t="s">
        <v>35</v>
      </c>
    </row>
    <row r="12" spans="1:15" s="35" customFormat="1" ht="15" customHeight="1">
      <c r="A12" s="34"/>
      <c r="B12" s="38"/>
      <c r="C12" s="34"/>
      <c r="E12" s="34"/>
      <c r="G12" s="34"/>
      <c r="I12" s="34"/>
      <c r="K12" s="34"/>
      <c r="M12" s="34"/>
      <c r="O12" s="34"/>
    </row>
    <row r="13" spans="1:15" s="35" customFormat="1" ht="15" customHeight="1">
      <c r="A13" s="34"/>
      <c r="B13" s="38"/>
      <c r="C13" s="458" t="s">
        <v>256</v>
      </c>
      <c r="D13" s="459"/>
      <c r="E13" s="459"/>
      <c r="F13" s="459"/>
      <c r="G13" s="459"/>
      <c r="H13" s="459"/>
      <c r="I13" s="459"/>
      <c r="J13" s="459"/>
      <c r="K13" s="460"/>
      <c r="M13" s="34"/>
      <c r="O13" s="34"/>
    </row>
    <row r="14" spans="1:15" s="35" customFormat="1" ht="15" customHeight="1">
      <c r="A14" s="34"/>
      <c r="B14" s="38"/>
      <c r="C14" s="453" t="s">
        <v>12</v>
      </c>
      <c r="D14" s="454"/>
      <c r="E14" s="454"/>
      <c r="F14" s="455"/>
      <c r="G14" s="47" t="s">
        <v>42</v>
      </c>
      <c r="H14" s="452" t="s">
        <v>45</v>
      </c>
      <c r="I14" s="452"/>
      <c r="J14" s="452" t="s">
        <v>46</v>
      </c>
      <c r="K14" s="452"/>
      <c r="M14" s="34"/>
      <c r="O14" s="34"/>
    </row>
    <row r="15" spans="1:15" s="35" customFormat="1" ht="15" customHeight="1">
      <c r="A15" s="34"/>
      <c r="B15" s="38"/>
      <c r="C15" s="422" t="s">
        <v>219</v>
      </c>
      <c r="D15" s="423"/>
      <c r="E15" s="423"/>
      <c r="F15" s="424"/>
      <c r="G15" s="51">
        <f>'1. Forn. de Mudas e Plantio'!G15</f>
        <v>6</v>
      </c>
      <c r="H15" s="395">
        <f>'1. Forn. de Mudas e Plantio'!H15:I15</f>
        <v>41.67</v>
      </c>
      <c r="I15" s="396"/>
      <c r="J15" s="395">
        <f aca="true" t="shared" si="0" ref="J15:J23">ROUND(G15*H15,2)</f>
        <v>250.02</v>
      </c>
      <c r="K15" s="396"/>
      <c r="M15" s="34"/>
      <c r="O15" s="34"/>
    </row>
    <row r="16" spans="1:15" s="35" customFormat="1" ht="15" customHeight="1">
      <c r="A16" s="34"/>
      <c r="B16" s="38"/>
      <c r="C16" s="422" t="s">
        <v>218</v>
      </c>
      <c r="D16" s="423"/>
      <c r="E16" s="423"/>
      <c r="F16" s="424"/>
      <c r="G16" s="51">
        <f>'1. Forn. de Mudas e Plantio'!G16</f>
        <v>6</v>
      </c>
      <c r="H16" s="395">
        <f>'1. Forn. de Mudas e Plantio'!H16:I16</f>
        <v>82.75</v>
      </c>
      <c r="I16" s="396"/>
      <c r="J16" s="395">
        <f t="shared" si="0"/>
        <v>496.5</v>
      </c>
      <c r="K16" s="396"/>
      <c r="M16" s="34"/>
      <c r="O16" s="34"/>
    </row>
    <row r="17" spans="1:15" s="35" customFormat="1" ht="15" customHeight="1">
      <c r="A17" s="34"/>
      <c r="B17" s="38"/>
      <c r="C17" s="422" t="s">
        <v>129</v>
      </c>
      <c r="D17" s="423"/>
      <c r="E17" s="423"/>
      <c r="F17" s="424"/>
      <c r="G17" s="51">
        <v>3</v>
      </c>
      <c r="H17" s="395">
        <f>'1. Forn. de Mudas e Plantio'!H17:I17</f>
        <v>38.28</v>
      </c>
      <c r="I17" s="396"/>
      <c r="J17" s="395">
        <f t="shared" si="0"/>
        <v>114.84</v>
      </c>
      <c r="K17" s="396"/>
      <c r="M17" s="34"/>
      <c r="O17" s="34"/>
    </row>
    <row r="18" spans="1:15" s="35" customFormat="1" ht="15" customHeight="1">
      <c r="A18" s="34"/>
      <c r="B18" s="38"/>
      <c r="C18" s="422" t="s">
        <v>17</v>
      </c>
      <c r="D18" s="423"/>
      <c r="E18" s="423"/>
      <c r="F18" s="424"/>
      <c r="G18" s="51">
        <v>3</v>
      </c>
      <c r="H18" s="395">
        <f>'1. Forn. de Mudas e Plantio'!H18:I18</f>
        <v>41.8</v>
      </c>
      <c r="I18" s="396"/>
      <c r="J18" s="395">
        <f t="shared" si="0"/>
        <v>125.4</v>
      </c>
      <c r="K18" s="396"/>
      <c r="M18" s="34"/>
      <c r="O18" s="34"/>
    </row>
    <row r="19" spans="1:15" s="35" customFormat="1" ht="15" customHeight="1">
      <c r="A19" s="34"/>
      <c r="B19" s="38"/>
      <c r="C19" s="430" t="s">
        <v>79</v>
      </c>
      <c r="D19" s="431"/>
      <c r="E19" s="431"/>
      <c r="F19" s="432"/>
      <c r="G19" s="57">
        <v>1</v>
      </c>
      <c r="H19" s="395">
        <f>'1. Forn. de Mudas e Plantio'!H19:I19</f>
        <v>27.33</v>
      </c>
      <c r="I19" s="396"/>
      <c r="J19" s="433">
        <f t="shared" si="0"/>
        <v>27.33</v>
      </c>
      <c r="K19" s="434"/>
      <c r="M19" s="34"/>
      <c r="O19" s="34"/>
    </row>
    <row r="20" spans="1:15" s="35" customFormat="1" ht="15" customHeight="1">
      <c r="A20" s="34"/>
      <c r="B20" s="38"/>
      <c r="C20" s="54" t="s">
        <v>220</v>
      </c>
      <c r="D20" s="55"/>
      <c r="E20" s="55"/>
      <c r="F20" s="56"/>
      <c r="G20" s="58">
        <v>3</v>
      </c>
      <c r="H20" s="395">
        <f>'1. Forn. de Mudas e Plantio'!H20:I20</f>
        <v>9.93</v>
      </c>
      <c r="I20" s="396"/>
      <c r="J20" s="433">
        <f t="shared" si="0"/>
        <v>29.79</v>
      </c>
      <c r="K20" s="434"/>
      <c r="M20" s="34"/>
      <c r="O20" s="34"/>
    </row>
    <row r="21" spans="1:15" s="35" customFormat="1" ht="15" customHeight="1">
      <c r="A21" s="34"/>
      <c r="B21" s="38"/>
      <c r="C21" s="54" t="s">
        <v>217</v>
      </c>
      <c r="D21" s="55"/>
      <c r="E21" s="55"/>
      <c r="F21" s="56"/>
      <c r="G21" s="58">
        <v>3</v>
      </c>
      <c r="H21" s="395">
        <f>'1. Forn. de Mudas e Plantio'!H21:I21</f>
        <v>3.85</v>
      </c>
      <c r="I21" s="396"/>
      <c r="J21" s="433">
        <f t="shared" si="0"/>
        <v>11.55</v>
      </c>
      <c r="K21" s="434"/>
      <c r="M21" s="34"/>
      <c r="O21" s="34"/>
    </row>
    <row r="22" spans="1:15" s="35" customFormat="1" ht="15" customHeight="1">
      <c r="A22" s="34"/>
      <c r="B22" s="38"/>
      <c r="C22" s="54" t="s">
        <v>216</v>
      </c>
      <c r="D22" s="55"/>
      <c r="E22" s="55"/>
      <c r="F22" s="56"/>
      <c r="G22" s="58">
        <v>3</v>
      </c>
      <c r="H22" s="395">
        <f>'1. Forn. de Mudas e Plantio'!H22:I22</f>
        <v>29.29</v>
      </c>
      <c r="I22" s="396"/>
      <c r="J22" s="433">
        <f t="shared" si="0"/>
        <v>87.87</v>
      </c>
      <c r="K22" s="434"/>
      <c r="M22" s="34"/>
      <c r="O22" s="34"/>
    </row>
    <row r="23" spans="1:15" s="35" customFormat="1" ht="15" customHeight="1">
      <c r="A23" s="34"/>
      <c r="B23" s="38"/>
      <c r="C23" s="435" t="s">
        <v>221</v>
      </c>
      <c r="D23" s="436"/>
      <c r="E23" s="436"/>
      <c r="F23" s="437"/>
      <c r="G23" s="52">
        <v>6</v>
      </c>
      <c r="H23" s="395">
        <f>'1. Forn. de Mudas e Plantio'!H23:I23</f>
        <v>14.45</v>
      </c>
      <c r="I23" s="396"/>
      <c r="J23" s="433">
        <f t="shared" si="0"/>
        <v>86.7</v>
      </c>
      <c r="K23" s="434"/>
      <c r="M23" s="34"/>
      <c r="O23" s="34"/>
    </row>
    <row r="24" spans="1:15" s="35" customFormat="1" ht="15" customHeight="1">
      <c r="A24" s="34"/>
      <c r="B24" s="38"/>
      <c r="C24" s="422" t="s">
        <v>44</v>
      </c>
      <c r="D24" s="423"/>
      <c r="E24" s="423"/>
      <c r="F24" s="423"/>
      <c r="G24" s="423"/>
      <c r="H24" s="423"/>
      <c r="I24" s="424"/>
      <c r="J24" s="425">
        <f>SUM(J15:K23)</f>
        <v>1230</v>
      </c>
      <c r="K24" s="426"/>
      <c r="M24" s="34"/>
      <c r="O24" s="34"/>
    </row>
    <row r="25" spans="1:15" s="35" customFormat="1" ht="15" customHeight="1">
      <c r="A25" s="34"/>
      <c r="B25" s="38"/>
      <c r="C25" s="438" t="s">
        <v>47</v>
      </c>
      <c r="D25" s="439"/>
      <c r="E25" s="439"/>
      <c r="F25" s="439"/>
      <c r="G25" s="439"/>
      <c r="H25" s="439"/>
      <c r="I25" s="440"/>
      <c r="J25" s="468">
        <f>ROUND(J24/12,2)</f>
        <v>102.5</v>
      </c>
      <c r="K25" s="469"/>
      <c r="M25" s="34"/>
      <c r="O25" s="34"/>
    </row>
    <row r="26" spans="1:15" s="35" customFormat="1" ht="15" customHeight="1">
      <c r="A26" s="3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O26" s="34"/>
    </row>
    <row r="27" spans="1:15" s="35" customFormat="1" ht="15" customHeight="1" hidden="1">
      <c r="A27" s="34"/>
      <c r="B27" s="38"/>
      <c r="C27" s="63"/>
      <c r="D27" s="63"/>
      <c r="E27" s="63"/>
      <c r="F27" s="63"/>
      <c r="G27" s="63"/>
      <c r="H27" s="63"/>
      <c r="I27" s="63"/>
      <c r="J27" s="64"/>
      <c r="K27" s="64"/>
      <c r="M27" s="34"/>
      <c r="O27" s="34"/>
    </row>
    <row r="28" spans="1:15" s="35" customFormat="1" ht="15" customHeight="1">
      <c r="A28" s="34"/>
      <c r="B28" s="38"/>
      <c r="C28" s="65" t="s">
        <v>358</v>
      </c>
      <c r="D28" s="66"/>
      <c r="E28" s="67"/>
      <c r="F28" s="66"/>
      <c r="G28" s="67"/>
      <c r="H28" s="66"/>
      <c r="I28" s="68"/>
      <c r="K28" s="34"/>
      <c r="M28" s="34"/>
      <c r="O28" s="34"/>
    </row>
    <row r="29" spans="1:15" s="35" customFormat="1" ht="15" customHeight="1">
      <c r="A29" s="34"/>
      <c r="B29" s="38"/>
      <c r="C29" s="71" t="s">
        <v>11</v>
      </c>
      <c r="D29" s="72"/>
      <c r="E29" s="73">
        <v>1</v>
      </c>
      <c r="F29" s="72" t="s">
        <v>9</v>
      </c>
      <c r="G29" s="74">
        <f>Insumos!D7</f>
        <v>1252.68</v>
      </c>
      <c r="H29" s="72" t="s">
        <v>10</v>
      </c>
      <c r="I29" s="75">
        <f aca="true" t="shared" si="1" ref="I29:I34">ROUND(E29*G29,2)</f>
        <v>1252.68</v>
      </c>
      <c r="K29" s="34"/>
      <c r="M29" s="34"/>
      <c r="O29" s="34"/>
    </row>
    <row r="30" spans="1:15" s="35" customFormat="1" ht="15" customHeight="1">
      <c r="A30" s="34"/>
      <c r="B30" s="38"/>
      <c r="C30" s="71" t="s">
        <v>2</v>
      </c>
      <c r="D30" s="72"/>
      <c r="E30" s="76">
        <v>0</v>
      </c>
      <c r="F30" s="72" t="s">
        <v>9</v>
      </c>
      <c r="G30" s="74">
        <f>Insumos!D19</f>
        <v>1212</v>
      </c>
      <c r="H30" s="72" t="s">
        <v>10</v>
      </c>
      <c r="I30" s="75">
        <f t="shared" si="1"/>
        <v>0</v>
      </c>
      <c r="J30" s="394"/>
      <c r="K30" s="394"/>
      <c r="M30" s="34"/>
      <c r="O30" s="34"/>
    </row>
    <row r="31" spans="1:15" s="35" customFormat="1" ht="15" customHeight="1">
      <c r="A31" s="34"/>
      <c r="B31" s="38"/>
      <c r="C31" s="71" t="s">
        <v>36</v>
      </c>
      <c r="D31" s="72"/>
      <c r="E31" s="77">
        <v>0</v>
      </c>
      <c r="F31" s="72" t="s">
        <v>9</v>
      </c>
      <c r="G31" s="74">
        <f>ROUND(G29/220*1.5,2)</f>
        <v>8.54</v>
      </c>
      <c r="H31" s="72" t="s">
        <v>10</v>
      </c>
      <c r="I31" s="75">
        <f t="shared" si="1"/>
        <v>0</v>
      </c>
      <c r="K31" s="34"/>
      <c r="M31" s="34"/>
      <c r="O31" s="34"/>
    </row>
    <row r="32" spans="1:15" s="35" customFormat="1" ht="15" customHeight="1" hidden="1">
      <c r="A32" s="34"/>
      <c r="B32" s="38"/>
      <c r="C32" s="71" t="s">
        <v>68</v>
      </c>
      <c r="D32" s="72"/>
      <c r="E32" s="77">
        <v>0</v>
      </c>
      <c r="F32" s="72" t="s">
        <v>9</v>
      </c>
      <c r="G32" s="74">
        <f>ROUND((G29/220)*2,2)</f>
        <v>11.39</v>
      </c>
      <c r="H32" s="72" t="s">
        <v>10</v>
      </c>
      <c r="I32" s="75">
        <f t="shared" si="1"/>
        <v>0</v>
      </c>
      <c r="K32" s="34"/>
      <c r="M32" s="34"/>
      <c r="O32" s="34"/>
    </row>
    <row r="33" spans="1:15" s="35" customFormat="1" ht="9" customHeight="1" hidden="1">
      <c r="A33" s="34"/>
      <c r="B33" s="38"/>
      <c r="C33" s="71" t="s">
        <v>70</v>
      </c>
      <c r="D33" s="72"/>
      <c r="E33" s="77">
        <v>0</v>
      </c>
      <c r="F33" s="72" t="s">
        <v>9</v>
      </c>
      <c r="G33" s="74">
        <f>(G29/220)*0.2</f>
        <v>1.14</v>
      </c>
      <c r="H33" s="72" t="s">
        <v>10</v>
      </c>
      <c r="I33" s="75">
        <f t="shared" si="1"/>
        <v>0</v>
      </c>
      <c r="K33" s="34"/>
      <c r="M33" s="34"/>
      <c r="O33" s="34"/>
    </row>
    <row r="34" spans="1:15" s="35" customFormat="1" ht="15" customHeight="1">
      <c r="A34" s="34"/>
      <c r="B34" s="38"/>
      <c r="C34" s="71" t="s">
        <v>38</v>
      </c>
      <c r="D34" s="72"/>
      <c r="E34" s="78">
        <f>'3. Zeladoria de Praças'!E55</f>
        <v>0.776</v>
      </c>
      <c r="F34" s="72" t="s">
        <v>9</v>
      </c>
      <c r="G34" s="79">
        <f>SUM(I29:I31)</f>
        <v>1252.68</v>
      </c>
      <c r="H34" s="72" t="s">
        <v>10</v>
      </c>
      <c r="I34" s="75">
        <f t="shared" si="1"/>
        <v>972.08</v>
      </c>
      <c r="J34" s="39"/>
      <c r="K34" s="34"/>
      <c r="M34" s="34"/>
      <c r="O34" s="34"/>
    </row>
    <row r="35" spans="1:15" s="35" customFormat="1" ht="15" customHeight="1">
      <c r="A35" s="34"/>
      <c r="B35" s="38"/>
      <c r="C35" s="80" t="s">
        <v>40</v>
      </c>
      <c r="D35" s="72"/>
      <c r="E35" s="81"/>
      <c r="F35" s="72"/>
      <c r="G35" s="79"/>
      <c r="H35" s="72"/>
      <c r="I35" s="82">
        <f>SUM(I29:I34)</f>
        <v>2224.76</v>
      </c>
      <c r="J35" s="39"/>
      <c r="K35" s="34"/>
      <c r="M35" s="34"/>
      <c r="O35" s="34"/>
    </row>
    <row r="36" spans="1:15" s="35" customFormat="1" ht="15" customHeight="1">
      <c r="A36" s="34"/>
      <c r="B36" s="38"/>
      <c r="C36" s="71" t="s">
        <v>39</v>
      </c>
      <c r="D36" s="72"/>
      <c r="E36" s="73">
        <f>'3. Zeladoria de Praças'!E57</f>
        <v>22</v>
      </c>
      <c r="F36" s="72" t="s">
        <v>9</v>
      </c>
      <c r="G36" s="79">
        <f>'1. Forn. de Mudas e Plantio'!G37</f>
        <v>15.23</v>
      </c>
      <c r="H36" s="72" t="s">
        <v>10</v>
      </c>
      <c r="I36" s="75">
        <f aca="true" t="shared" si="2" ref="I36:I41">ROUND(E36*G36,2)</f>
        <v>335.06</v>
      </c>
      <c r="J36" s="39"/>
      <c r="K36" s="34"/>
      <c r="M36" s="34"/>
      <c r="O36" s="34"/>
    </row>
    <row r="37" spans="1:15" s="35" customFormat="1" ht="15" customHeight="1">
      <c r="A37" s="34"/>
      <c r="B37" s="38"/>
      <c r="C37" s="71" t="s">
        <v>95</v>
      </c>
      <c r="D37" s="72"/>
      <c r="E37" s="73">
        <f>E29</f>
        <v>1</v>
      </c>
      <c r="F37" s="72" t="s">
        <v>9</v>
      </c>
      <c r="G37" s="79">
        <f>'1. Forn. de Mudas e Plantio'!G38</f>
        <v>215.25</v>
      </c>
      <c r="H37" s="72" t="s">
        <v>10</v>
      </c>
      <c r="I37" s="75">
        <f t="shared" si="2"/>
        <v>215.25</v>
      </c>
      <c r="J37" s="39"/>
      <c r="K37" s="34"/>
      <c r="M37" s="34"/>
      <c r="O37" s="34"/>
    </row>
    <row r="38" spans="1:15" s="35" customFormat="1" ht="15" customHeight="1">
      <c r="A38" s="34"/>
      <c r="B38" s="38"/>
      <c r="C38" s="71" t="s">
        <v>133</v>
      </c>
      <c r="D38" s="72"/>
      <c r="E38" s="73">
        <v>1</v>
      </c>
      <c r="F38" s="72" t="s">
        <v>9</v>
      </c>
      <c r="G38" s="79">
        <f>'1. Forn. de Mudas e Plantio'!G39</f>
        <v>17.94</v>
      </c>
      <c r="H38" s="72" t="s">
        <v>10</v>
      </c>
      <c r="I38" s="75">
        <f t="shared" si="2"/>
        <v>17.94</v>
      </c>
      <c r="J38" s="83"/>
      <c r="K38" s="34"/>
      <c r="M38" s="34"/>
      <c r="O38" s="34"/>
    </row>
    <row r="39" spans="1:15" s="35" customFormat="1" ht="15" customHeight="1">
      <c r="A39" s="34"/>
      <c r="B39" s="38"/>
      <c r="C39" s="86" t="str">
        <f>'1. Forn. de Mudas e Plantio'!C40</f>
        <v>Gratificação de Férias (1/12)</v>
      </c>
      <c r="D39" s="72"/>
      <c r="E39" s="73">
        <f>E29</f>
        <v>1</v>
      </c>
      <c r="F39" s="72" t="s">
        <v>9</v>
      </c>
      <c r="G39" s="79">
        <f>'1. Forn. de Mudas e Plantio'!G40</f>
        <v>17.94</v>
      </c>
      <c r="H39" s="72" t="s">
        <v>10</v>
      </c>
      <c r="I39" s="75">
        <f t="shared" si="2"/>
        <v>17.94</v>
      </c>
      <c r="J39" s="39"/>
      <c r="K39" s="34"/>
      <c r="M39" s="34"/>
      <c r="O39" s="34"/>
    </row>
    <row r="40" spans="1:15" s="35" customFormat="1" ht="15" customHeight="1">
      <c r="A40" s="34"/>
      <c r="B40" s="38"/>
      <c r="C40" s="97" t="str">
        <f>'1. Forn. de Mudas e Plantio'!C41</f>
        <v>Ass. Médica (Ambulatorial)</v>
      </c>
      <c r="D40" s="72"/>
      <c r="E40" s="73">
        <v>1</v>
      </c>
      <c r="F40" s="72" t="s">
        <v>9</v>
      </c>
      <c r="G40" s="79">
        <f>'1. Forn. de Mudas e Plantio'!G41</f>
        <v>60</v>
      </c>
      <c r="H40" s="72" t="s">
        <v>10</v>
      </c>
      <c r="I40" s="75">
        <f t="shared" si="2"/>
        <v>60</v>
      </c>
      <c r="J40" s="39"/>
      <c r="K40" s="34"/>
      <c r="M40" s="34"/>
      <c r="O40" s="34"/>
    </row>
    <row r="41" spans="1:15" s="35" customFormat="1" ht="15" customHeight="1">
      <c r="A41" s="34"/>
      <c r="B41" s="38"/>
      <c r="C41" s="71" t="s">
        <v>54</v>
      </c>
      <c r="D41" s="72"/>
      <c r="E41" s="73">
        <v>1</v>
      </c>
      <c r="F41" s="72" t="s">
        <v>59</v>
      </c>
      <c r="G41" s="79">
        <f>'1. Forn. de Mudas e Plantio'!G42</f>
        <v>14</v>
      </c>
      <c r="H41" s="72" t="s">
        <v>10</v>
      </c>
      <c r="I41" s="75">
        <f t="shared" si="2"/>
        <v>14</v>
      </c>
      <c r="J41" s="39"/>
      <c r="K41" s="34"/>
      <c r="M41" s="34"/>
      <c r="O41" s="34"/>
    </row>
    <row r="42" spans="1:15" s="35" customFormat="1" ht="15" customHeight="1">
      <c r="A42" s="34"/>
      <c r="B42" s="38"/>
      <c r="C42" s="84" t="s">
        <v>441</v>
      </c>
      <c r="D42" s="72"/>
      <c r="E42" s="90">
        <f>E36*2</f>
        <v>44</v>
      </c>
      <c r="F42" s="72" t="s">
        <v>9</v>
      </c>
      <c r="G42" s="79">
        <f>'1. Forn. de Mudas e Plantio'!G43</f>
        <v>3.8</v>
      </c>
      <c r="H42" s="72" t="s">
        <v>10</v>
      </c>
      <c r="I42" s="75">
        <f>IF(G29*6%&lt;E42*G42,ROUND(E42*G42,2)-6%*G29,0)</f>
        <v>92.04</v>
      </c>
      <c r="J42" s="91"/>
      <c r="K42" s="34"/>
      <c r="M42" s="34"/>
      <c r="O42" s="34"/>
    </row>
    <row r="43" spans="1:15" s="35" customFormat="1" ht="15" customHeight="1">
      <c r="A43" s="34"/>
      <c r="B43" s="38"/>
      <c r="C43" s="71" t="s">
        <v>13</v>
      </c>
      <c r="D43" s="72"/>
      <c r="E43" s="181">
        <f>'3. Zeladoria de Praças'!E118</f>
        <v>1</v>
      </c>
      <c r="F43" s="72" t="s">
        <v>9</v>
      </c>
      <c r="G43" s="79">
        <f>J25</f>
        <v>102.5</v>
      </c>
      <c r="H43" s="72" t="s">
        <v>10</v>
      </c>
      <c r="I43" s="75">
        <f>ROUND(E43*G43,2)</f>
        <v>102.5</v>
      </c>
      <c r="J43" s="39"/>
      <c r="K43" s="34"/>
      <c r="M43" s="34"/>
      <c r="O43" s="34"/>
    </row>
    <row r="44" spans="1:15" s="35" customFormat="1" ht="15" customHeight="1">
      <c r="A44" s="34"/>
      <c r="B44" s="38"/>
      <c r="C44" s="80" t="s">
        <v>41</v>
      </c>
      <c r="D44" s="93"/>
      <c r="E44" s="94"/>
      <c r="F44" s="93"/>
      <c r="G44" s="94"/>
      <c r="H44" s="93"/>
      <c r="I44" s="95">
        <f>SUM(I35:I43)</f>
        <v>3079.49</v>
      </c>
      <c r="J44" s="64"/>
      <c r="K44" s="34"/>
      <c r="M44" s="34"/>
      <c r="O44" s="34"/>
    </row>
    <row r="45" spans="1:15" s="35" customFormat="1" ht="15" customHeight="1">
      <c r="A45" s="34"/>
      <c r="B45" s="38"/>
      <c r="C45" s="34"/>
      <c r="E45" s="34"/>
      <c r="G45" s="34"/>
      <c r="I45" s="96"/>
      <c r="K45" s="34"/>
      <c r="M45" s="34"/>
      <c r="O45" s="34"/>
    </row>
    <row r="46" spans="1:15" s="35" customFormat="1" ht="15" customHeight="1">
      <c r="A46" s="34"/>
      <c r="B46" s="38"/>
      <c r="C46" s="65" t="s">
        <v>357</v>
      </c>
      <c r="D46" s="66"/>
      <c r="E46" s="67"/>
      <c r="F46" s="66"/>
      <c r="G46" s="67"/>
      <c r="H46" s="66"/>
      <c r="I46" s="68"/>
      <c r="K46" s="34"/>
      <c r="M46" s="34"/>
      <c r="O46" s="34"/>
    </row>
    <row r="47" spans="1:15" s="35" customFormat="1" ht="15" customHeight="1">
      <c r="A47" s="34"/>
      <c r="B47" s="38"/>
      <c r="C47" s="71" t="s">
        <v>11</v>
      </c>
      <c r="D47" s="72"/>
      <c r="E47" s="73">
        <v>1</v>
      </c>
      <c r="F47" s="72" t="s">
        <v>9</v>
      </c>
      <c r="G47" s="74">
        <f>G29</f>
        <v>1252.68</v>
      </c>
      <c r="H47" s="72" t="s">
        <v>10</v>
      </c>
      <c r="I47" s="75">
        <f aca="true" t="shared" si="3" ref="I47:I52">ROUND(E47*G47,2)</f>
        <v>1252.68</v>
      </c>
      <c r="K47" s="34"/>
      <c r="M47" s="34"/>
      <c r="O47" s="34"/>
    </row>
    <row r="48" spans="1:15" s="35" customFormat="1" ht="15" customHeight="1">
      <c r="A48" s="34"/>
      <c r="B48" s="38"/>
      <c r="C48" s="71" t="s">
        <v>2</v>
      </c>
      <c r="D48" s="72"/>
      <c r="E48" s="76">
        <v>0</v>
      </c>
      <c r="F48" s="72" t="s">
        <v>9</v>
      </c>
      <c r="G48" s="74">
        <f>Insumos!D22</f>
        <v>0</v>
      </c>
      <c r="H48" s="72" t="s">
        <v>10</v>
      </c>
      <c r="I48" s="75">
        <f t="shared" si="3"/>
        <v>0</v>
      </c>
      <c r="J48" s="394"/>
      <c r="K48" s="394"/>
      <c r="M48" s="34"/>
      <c r="O48" s="34"/>
    </row>
    <row r="49" spans="1:15" s="35" customFormat="1" ht="15" customHeight="1">
      <c r="A49" s="34"/>
      <c r="B49" s="38"/>
      <c r="C49" s="71" t="s">
        <v>36</v>
      </c>
      <c r="D49" s="72"/>
      <c r="E49" s="77">
        <v>0</v>
      </c>
      <c r="F49" s="72" t="s">
        <v>9</v>
      </c>
      <c r="G49" s="74">
        <f>ROUND(G47/220*1.5,2)</f>
        <v>8.54</v>
      </c>
      <c r="H49" s="72" t="s">
        <v>10</v>
      </c>
      <c r="I49" s="75">
        <f t="shared" si="3"/>
        <v>0</v>
      </c>
      <c r="K49" s="34"/>
      <c r="M49" s="34"/>
      <c r="O49" s="34"/>
    </row>
    <row r="50" spans="1:15" s="35" customFormat="1" ht="15" customHeight="1" hidden="1">
      <c r="A50" s="34"/>
      <c r="B50" s="38"/>
      <c r="C50" s="71" t="s">
        <v>68</v>
      </c>
      <c r="D50" s="72"/>
      <c r="E50" s="77">
        <v>0</v>
      </c>
      <c r="F50" s="72" t="s">
        <v>9</v>
      </c>
      <c r="G50" s="74">
        <f>ROUND((G47/220)*2,2)</f>
        <v>11.39</v>
      </c>
      <c r="H50" s="72" t="s">
        <v>10</v>
      </c>
      <c r="I50" s="75">
        <f t="shared" si="3"/>
        <v>0</v>
      </c>
      <c r="K50" s="34"/>
      <c r="M50" s="34"/>
      <c r="O50" s="34"/>
    </row>
    <row r="51" spans="1:15" s="35" customFormat="1" ht="12.75">
      <c r="A51" s="34"/>
      <c r="B51" s="38"/>
      <c r="C51" s="71" t="s">
        <v>70</v>
      </c>
      <c r="D51" s="72"/>
      <c r="E51" s="77">
        <v>114.4</v>
      </c>
      <c r="F51" s="72" t="s">
        <v>9</v>
      </c>
      <c r="G51" s="74">
        <f>(G47/220)*0.2</f>
        <v>1.14</v>
      </c>
      <c r="H51" s="72" t="s">
        <v>10</v>
      </c>
      <c r="I51" s="75">
        <f t="shared" si="3"/>
        <v>130.42</v>
      </c>
      <c r="K51" s="34"/>
      <c r="M51" s="34"/>
      <c r="O51" s="34"/>
    </row>
    <row r="52" spans="1:15" s="35" customFormat="1" ht="15" customHeight="1">
      <c r="A52" s="34"/>
      <c r="B52" s="38"/>
      <c r="C52" s="71" t="s">
        <v>38</v>
      </c>
      <c r="D52" s="72"/>
      <c r="E52" s="78">
        <f>'3. Zeladoria de Praças'!E73</f>
        <v>0.776</v>
      </c>
      <c r="F52" s="72" t="s">
        <v>9</v>
      </c>
      <c r="G52" s="79">
        <f>SUM(I47:I51)</f>
        <v>1383.1</v>
      </c>
      <c r="H52" s="72" t="s">
        <v>10</v>
      </c>
      <c r="I52" s="75">
        <f t="shared" si="3"/>
        <v>1073.29</v>
      </c>
      <c r="J52" s="39"/>
      <c r="K52" s="34"/>
      <c r="M52" s="34"/>
      <c r="O52" s="34"/>
    </row>
    <row r="53" spans="1:15" s="35" customFormat="1" ht="15" customHeight="1">
      <c r="A53" s="34"/>
      <c r="B53" s="38"/>
      <c r="C53" s="80" t="s">
        <v>40</v>
      </c>
      <c r="D53" s="72"/>
      <c r="E53" s="81"/>
      <c r="F53" s="72"/>
      <c r="G53" s="79"/>
      <c r="H53" s="72"/>
      <c r="I53" s="82">
        <f>SUM(I47:I52)</f>
        <v>2456.39</v>
      </c>
      <c r="J53" s="39"/>
      <c r="K53" s="34"/>
      <c r="M53" s="34"/>
      <c r="O53" s="34"/>
    </row>
    <row r="54" spans="1:15" s="35" customFormat="1" ht="15" customHeight="1">
      <c r="A54" s="34"/>
      <c r="B54" s="38"/>
      <c r="C54" s="71" t="s">
        <v>39</v>
      </c>
      <c r="D54" s="72"/>
      <c r="E54" s="73">
        <f>'3. Zeladoria de Praças'!E75</f>
        <v>22</v>
      </c>
      <c r="F54" s="72" t="s">
        <v>9</v>
      </c>
      <c r="G54" s="79">
        <f>'1. Forn. de Mudas e Plantio'!G55</f>
        <v>15.23</v>
      </c>
      <c r="H54" s="72" t="s">
        <v>10</v>
      </c>
      <c r="I54" s="75">
        <f aca="true" t="shared" si="4" ref="I54:I59">ROUND(E54*G54,2)</f>
        <v>335.06</v>
      </c>
      <c r="J54" s="39"/>
      <c r="K54" s="34"/>
      <c r="M54" s="34"/>
      <c r="O54" s="34"/>
    </row>
    <row r="55" spans="1:15" s="35" customFormat="1" ht="15" customHeight="1">
      <c r="A55" s="34"/>
      <c r="B55" s="38"/>
      <c r="C55" s="71" t="s">
        <v>95</v>
      </c>
      <c r="D55" s="72"/>
      <c r="E55" s="73">
        <f>E47</f>
        <v>1</v>
      </c>
      <c r="F55" s="72" t="s">
        <v>9</v>
      </c>
      <c r="G55" s="79">
        <f>'1. Forn. de Mudas e Plantio'!G56</f>
        <v>215.25</v>
      </c>
      <c r="H55" s="72" t="s">
        <v>10</v>
      </c>
      <c r="I55" s="75">
        <f t="shared" si="4"/>
        <v>215.25</v>
      </c>
      <c r="J55" s="39"/>
      <c r="K55" s="34"/>
      <c r="M55" s="34"/>
      <c r="O55" s="34"/>
    </row>
    <row r="56" spans="1:15" s="35" customFormat="1" ht="15" customHeight="1">
      <c r="A56" s="34"/>
      <c r="B56" s="38"/>
      <c r="C56" s="71" t="s">
        <v>133</v>
      </c>
      <c r="D56" s="72"/>
      <c r="E56" s="73">
        <v>1</v>
      </c>
      <c r="F56" s="72" t="s">
        <v>9</v>
      </c>
      <c r="G56" s="79">
        <f>'1. Forn. de Mudas e Plantio'!G57</f>
        <v>17.94</v>
      </c>
      <c r="H56" s="72" t="s">
        <v>10</v>
      </c>
      <c r="I56" s="75">
        <f t="shared" si="4"/>
        <v>17.94</v>
      </c>
      <c r="J56" s="83"/>
      <c r="K56" s="34"/>
      <c r="M56" s="34"/>
      <c r="O56" s="34"/>
    </row>
    <row r="57" spans="1:15" s="35" customFormat="1" ht="15" customHeight="1">
      <c r="A57" s="34"/>
      <c r="B57" s="38"/>
      <c r="C57" s="86" t="str">
        <f>'1. Forn. de Mudas e Plantio'!C58</f>
        <v>Gratificação de Férias (1/12)</v>
      </c>
      <c r="D57" s="72"/>
      <c r="E57" s="73">
        <f>E47</f>
        <v>1</v>
      </c>
      <c r="F57" s="72" t="s">
        <v>9</v>
      </c>
      <c r="G57" s="79">
        <f>'1. Forn. de Mudas e Plantio'!G58</f>
        <v>17.94</v>
      </c>
      <c r="H57" s="72" t="s">
        <v>10</v>
      </c>
      <c r="I57" s="75">
        <f t="shared" si="4"/>
        <v>17.94</v>
      </c>
      <c r="J57" s="39"/>
      <c r="K57" s="34"/>
      <c r="M57" s="34"/>
      <c r="O57" s="34"/>
    </row>
    <row r="58" spans="1:15" s="35" customFormat="1" ht="15" customHeight="1">
      <c r="A58" s="34"/>
      <c r="B58" s="38"/>
      <c r="C58" s="97" t="str">
        <f>'1. Forn. de Mudas e Plantio'!C59</f>
        <v>Ass. Médica (Ambulatorial)</v>
      </c>
      <c r="D58" s="72"/>
      <c r="E58" s="73">
        <v>1</v>
      </c>
      <c r="F58" s="72" t="s">
        <v>9</v>
      </c>
      <c r="G58" s="79">
        <f>'1. Forn. de Mudas e Plantio'!G59</f>
        <v>60</v>
      </c>
      <c r="H58" s="72" t="s">
        <v>10</v>
      </c>
      <c r="I58" s="75">
        <f t="shared" si="4"/>
        <v>60</v>
      </c>
      <c r="J58" s="39"/>
      <c r="K58" s="34"/>
      <c r="M58" s="34"/>
      <c r="O58" s="34"/>
    </row>
    <row r="59" spans="1:15" s="35" customFormat="1" ht="15" customHeight="1">
      <c r="A59" s="34"/>
      <c r="B59" s="38"/>
      <c r="C59" s="71" t="s">
        <v>54</v>
      </c>
      <c r="D59" s="72"/>
      <c r="E59" s="73">
        <v>1</v>
      </c>
      <c r="F59" s="72" t="s">
        <v>59</v>
      </c>
      <c r="G59" s="79">
        <f>'1. Forn. de Mudas e Plantio'!G60</f>
        <v>14</v>
      </c>
      <c r="H59" s="72" t="s">
        <v>10</v>
      </c>
      <c r="I59" s="75">
        <f t="shared" si="4"/>
        <v>14</v>
      </c>
      <c r="J59" s="39"/>
      <c r="K59" s="34"/>
      <c r="M59" s="34"/>
      <c r="O59" s="34"/>
    </row>
    <row r="60" spans="1:15" s="35" customFormat="1" ht="15" customHeight="1">
      <c r="A60" s="34"/>
      <c r="B60" s="38"/>
      <c r="C60" s="84" t="s">
        <v>441</v>
      </c>
      <c r="D60" s="72"/>
      <c r="E60" s="90">
        <f>E54*2</f>
        <v>44</v>
      </c>
      <c r="F60" s="72" t="s">
        <v>9</v>
      </c>
      <c r="G60" s="79">
        <f>'1. Forn. de Mudas e Plantio'!G61</f>
        <v>3.8</v>
      </c>
      <c r="H60" s="72" t="s">
        <v>10</v>
      </c>
      <c r="I60" s="75">
        <f>IF(G47*6%&lt;E60*G60,ROUND(E60*G60,2)-6%*G47,0)</f>
        <v>92.04</v>
      </c>
      <c r="J60" s="91"/>
      <c r="K60" s="34"/>
      <c r="M60" s="34"/>
      <c r="O60" s="34"/>
    </row>
    <row r="61" spans="1:15" s="35" customFormat="1" ht="15" customHeight="1">
      <c r="A61" s="34"/>
      <c r="B61" s="38"/>
      <c r="C61" s="71" t="s">
        <v>13</v>
      </c>
      <c r="D61" s="72"/>
      <c r="E61" s="181">
        <v>1</v>
      </c>
      <c r="F61" s="72" t="s">
        <v>9</v>
      </c>
      <c r="G61" s="79">
        <f>J25</f>
        <v>102.5</v>
      </c>
      <c r="H61" s="72" t="s">
        <v>10</v>
      </c>
      <c r="I61" s="75">
        <f>ROUND(E61*G61,2)</f>
        <v>102.5</v>
      </c>
      <c r="J61" s="39"/>
      <c r="K61" s="34"/>
      <c r="M61" s="34"/>
      <c r="O61" s="34"/>
    </row>
    <row r="62" spans="1:15" s="35" customFormat="1" ht="15" customHeight="1">
      <c r="A62" s="34"/>
      <c r="B62" s="38"/>
      <c r="C62" s="80" t="s">
        <v>41</v>
      </c>
      <c r="D62" s="93"/>
      <c r="E62" s="94"/>
      <c r="F62" s="93"/>
      <c r="G62" s="94"/>
      <c r="H62" s="93"/>
      <c r="I62" s="95">
        <f>SUM(I53:I61)</f>
        <v>3311.12</v>
      </c>
      <c r="J62" s="64"/>
      <c r="K62" s="34"/>
      <c r="M62" s="34"/>
      <c r="O62" s="34"/>
    </row>
    <row r="63" spans="1:15" s="35" customFormat="1" ht="12.75" customHeight="1">
      <c r="A63" s="34"/>
      <c r="B63" s="38"/>
      <c r="C63" s="99"/>
      <c r="D63" s="64"/>
      <c r="E63" s="99"/>
      <c r="F63" s="64"/>
      <c r="G63" s="99"/>
      <c r="H63" s="64"/>
      <c r="I63" s="100"/>
      <c r="J63" s="64"/>
      <c r="K63" s="34"/>
      <c r="M63" s="34"/>
      <c r="O63" s="34"/>
    </row>
    <row r="64" spans="1:15" s="35" customFormat="1" ht="15" customHeight="1">
      <c r="A64" s="34"/>
      <c r="B64" s="38"/>
      <c r="C64" s="427" t="s">
        <v>61</v>
      </c>
      <c r="D64" s="428"/>
      <c r="E64" s="428"/>
      <c r="F64" s="428"/>
      <c r="G64" s="428"/>
      <c r="H64" s="428"/>
      <c r="I64" s="429"/>
      <c r="J64" s="64"/>
      <c r="K64" s="34"/>
      <c r="M64" s="34"/>
      <c r="O64" s="34"/>
    </row>
    <row r="65" spans="1:15" s="35" customFormat="1" ht="15" customHeight="1">
      <c r="A65" s="34"/>
      <c r="B65" s="38"/>
      <c r="C65" s="414" t="s">
        <v>120</v>
      </c>
      <c r="D65" s="415"/>
      <c r="E65" s="416" t="s">
        <v>121</v>
      </c>
      <c r="F65" s="417"/>
      <c r="G65" s="416" t="s">
        <v>138</v>
      </c>
      <c r="H65" s="417"/>
      <c r="I65" s="103" t="s">
        <v>135</v>
      </c>
      <c r="J65" s="104"/>
      <c r="K65" s="34"/>
      <c r="M65" s="34"/>
      <c r="O65" s="34"/>
    </row>
    <row r="66" spans="1:15" s="35" customFormat="1" ht="15" customHeight="1">
      <c r="A66" s="34"/>
      <c r="B66" s="38"/>
      <c r="C66" s="397" t="str">
        <f>C7</f>
        <v>Ajudante diurno</v>
      </c>
      <c r="D66" s="399"/>
      <c r="E66" s="395">
        <f>H7</f>
        <v>1</v>
      </c>
      <c r="F66" s="396"/>
      <c r="G66" s="495">
        <f>I44</f>
        <v>3079.49</v>
      </c>
      <c r="H66" s="496"/>
      <c r="I66" s="107">
        <f>ROUND(E66*G66,2)</f>
        <v>3079.49</v>
      </c>
      <c r="J66" s="64"/>
      <c r="K66" s="34"/>
      <c r="M66" s="34"/>
      <c r="O66" s="34"/>
    </row>
    <row r="67" spans="1:15" s="35" customFormat="1" ht="15" customHeight="1">
      <c r="A67" s="34"/>
      <c r="B67" s="38"/>
      <c r="C67" s="397" t="str">
        <f>C8</f>
        <v>Ajudante noturno</v>
      </c>
      <c r="D67" s="399"/>
      <c r="E67" s="395">
        <f>H8</f>
        <v>1</v>
      </c>
      <c r="F67" s="396"/>
      <c r="G67" s="495">
        <f>I62</f>
        <v>3311.12</v>
      </c>
      <c r="H67" s="496"/>
      <c r="I67" s="107">
        <f>ROUND(E67*G67,2)</f>
        <v>3311.12</v>
      </c>
      <c r="J67" s="64"/>
      <c r="K67" s="34"/>
      <c r="M67" s="34"/>
      <c r="O67" s="34"/>
    </row>
    <row r="68" spans="1:15" s="35" customFormat="1" ht="16.5" customHeight="1">
      <c r="A68" s="34"/>
      <c r="B68" s="109"/>
      <c r="C68" s="101" t="s">
        <v>140</v>
      </c>
      <c r="D68" s="102"/>
      <c r="E68" s="110"/>
      <c r="F68" s="102"/>
      <c r="G68" s="110"/>
      <c r="H68" s="412">
        <f>SUM(I66:I67)</f>
        <v>6390.61</v>
      </c>
      <c r="I68" s="413"/>
      <c r="J68" s="111"/>
      <c r="K68" s="70"/>
      <c r="M68" s="34"/>
      <c r="O68" s="34"/>
    </row>
    <row r="69" spans="1:15" s="35" customFormat="1" ht="15.75" customHeight="1">
      <c r="A69" s="34"/>
      <c r="B69" s="109"/>
      <c r="C69" s="111"/>
      <c r="D69" s="112"/>
      <c r="E69" s="111"/>
      <c r="F69" s="112"/>
      <c r="G69" s="111"/>
      <c r="H69" s="112"/>
      <c r="I69" s="113"/>
      <c r="J69" s="111"/>
      <c r="K69" s="70"/>
      <c r="M69" s="34"/>
      <c r="O69" s="34"/>
    </row>
    <row r="70" spans="1:15" s="35" customFormat="1" ht="15.75" customHeight="1">
      <c r="A70" s="34"/>
      <c r="B70" s="109"/>
      <c r="C70" s="111"/>
      <c r="D70" s="112"/>
      <c r="E70" s="111"/>
      <c r="F70" s="112"/>
      <c r="G70" s="111"/>
      <c r="H70" s="112"/>
      <c r="I70" s="113"/>
      <c r="J70" s="111"/>
      <c r="K70" s="70"/>
      <c r="M70" s="34"/>
      <c r="O70" s="34"/>
    </row>
    <row r="71" spans="3:10" ht="15" customHeight="1">
      <c r="C71" s="115" t="s">
        <v>351</v>
      </c>
      <c r="D71" s="39"/>
      <c r="E71" s="91"/>
      <c r="F71" s="39"/>
      <c r="G71" s="91"/>
      <c r="H71" s="39"/>
      <c r="I71" s="116"/>
      <c r="J71" s="64"/>
    </row>
    <row r="72" spans="3:10" ht="15" customHeight="1">
      <c r="C72" s="117"/>
      <c r="D72" s="39"/>
      <c r="E72" s="91"/>
      <c r="F72" s="39"/>
      <c r="G72" s="91"/>
      <c r="H72" s="39"/>
      <c r="I72" s="116"/>
      <c r="J72" s="64"/>
    </row>
    <row r="73" spans="3:11" ht="24" customHeight="1">
      <c r="C73" s="101" t="s">
        <v>120</v>
      </c>
      <c r="D73" s="110"/>
      <c r="E73" s="110"/>
      <c r="F73" s="118" t="s">
        <v>0</v>
      </c>
      <c r="G73" s="119" t="s">
        <v>147</v>
      </c>
      <c r="H73" s="408" t="s">
        <v>148</v>
      </c>
      <c r="I73" s="409"/>
      <c r="J73" s="91"/>
      <c r="K73" s="120"/>
    </row>
    <row r="74" spans="3:11" ht="82.5" customHeight="1">
      <c r="C74" s="405" t="s">
        <v>433</v>
      </c>
      <c r="D74" s="406"/>
      <c r="E74" s="407"/>
      <c r="F74" s="121">
        <v>1</v>
      </c>
      <c r="G74" s="122">
        <f>10000+5000+2500</f>
        <v>17500</v>
      </c>
      <c r="H74" s="537">
        <f>F74*G74</f>
        <v>17500</v>
      </c>
      <c r="I74" s="538"/>
      <c r="J74" s="91"/>
      <c r="K74" s="123"/>
    </row>
    <row r="75" spans="3:11" ht="15" customHeight="1">
      <c r="C75" s="101" t="s">
        <v>352</v>
      </c>
      <c r="D75" s="124"/>
      <c r="E75" s="125"/>
      <c r="F75" s="124"/>
      <c r="G75" s="125"/>
      <c r="H75" s="412">
        <f>SUM(H74)</f>
        <v>17500</v>
      </c>
      <c r="I75" s="413"/>
      <c r="J75" s="91"/>
      <c r="K75" s="113"/>
    </row>
    <row r="76" spans="3:11" ht="15" customHeight="1">
      <c r="C76" s="117"/>
      <c r="D76" s="39"/>
      <c r="E76" s="91"/>
      <c r="F76" s="39"/>
      <c r="G76" s="91"/>
      <c r="H76" s="39"/>
      <c r="I76" s="116"/>
      <c r="J76" s="64"/>
      <c r="K76" s="91"/>
    </row>
    <row r="77" spans="2:13" s="35" customFormat="1" ht="15" customHeight="1">
      <c r="B77" s="38"/>
      <c r="C77" s="126" t="s">
        <v>353</v>
      </c>
      <c r="D77" s="127"/>
      <c r="E77" s="127"/>
      <c r="F77" s="127"/>
      <c r="G77" s="127"/>
      <c r="H77" s="127"/>
      <c r="I77" s="127"/>
      <c r="J77" s="128"/>
      <c r="K77" s="129"/>
      <c r="M77" s="34"/>
    </row>
    <row r="78" spans="2:13" s="35" customFormat="1" ht="15" customHeight="1">
      <c r="B78" s="38"/>
      <c r="C78" s="105" t="s">
        <v>97</v>
      </c>
      <c r="D78" s="39"/>
      <c r="E78" s="91"/>
      <c r="F78" s="39"/>
      <c r="G78" s="91"/>
      <c r="H78" s="39"/>
      <c r="I78" s="130">
        <v>200</v>
      </c>
      <c r="J78" s="131"/>
      <c r="K78" s="34"/>
      <c r="M78" s="34"/>
    </row>
    <row r="79" spans="2:13" s="35" customFormat="1" ht="15" customHeight="1">
      <c r="B79" s="38"/>
      <c r="C79" s="71" t="s">
        <v>78</v>
      </c>
      <c r="D79" s="72"/>
      <c r="E79" s="108"/>
      <c r="F79" s="72"/>
      <c r="G79" s="108"/>
      <c r="H79" s="72"/>
      <c r="I79" s="132">
        <v>60</v>
      </c>
      <c r="J79" s="53"/>
      <c r="K79" s="34"/>
      <c r="M79" s="34"/>
    </row>
    <row r="80" spans="2:13" s="35" customFormat="1" ht="15" customHeight="1">
      <c r="B80" s="38"/>
      <c r="C80" s="105" t="s">
        <v>49</v>
      </c>
      <c r="D80" s="39"/>
      <c r="E80" s="91"/>
      <c r="F80" s="39"/>
      <c r="G80" s="91"/>
      <c r="H80" s="39"/>
      <c r="I80" s="133">
        <v>90</v>
      </c>
      <c r="J80" s="134"/>
      <c r="K80" s="34"/>
      <c r="M80" s="34"/>
    </row>
    <row r="81" spans="2:13" s="35" customFormat="1" ht="15" customHeight="1">
      <c r="B81" s="38"/>
      <c r="C81" s="71" t="s">
        <v>48</v>
      </c>
      <c r="D81" s="72"/>
      <c r="E81" s="108"/>
      <c r="F81" s="72"/>
      <c r="G81" s="108"/>
      <c r="H81" s="72"/>
      <c r="I81" s="135">
        <v>1</v>
      </c>
      <c r="J81" s="53"/>
      <c r="K81" s="34"/>
      <c r="M81" s="34"/>
    </row>
    <row r="82" spans="2:13" s="35" customFormat="1" ht="15" customHeight="1">
      <c r="B82" s="38"/>
      <c r="C82" s="80" t="s">
        <v>43</v>
      </c>
      <c r="D82" s="93"/>
      <c r="E82" s="94"/>
      <c r="F82" s="93"/>
      <c r="G82" s="94"/>
      <c r="H82" s="93"/>
      <c r="I82" s="136">
        <f>(I78+I80)*I81</f>
        <v>290</v>
      </c>
      <c r="J82" s="53"/>
      <c r="K82" s="34"/>
      <c r="M82" s="34"/>
    </row>
    <row r="83" spans="2:13" s="35" customFormat="1" ht="15" customHeight="1">
      <c r="B83" s="38"/>
      <c r="C83" s="99"/>
      <c r="D83" s="64"/>
      <c r="E83" s="99"/>
      <c r="F83" s="64"/>
      <c r="G83" s="99"/>
      <c r="H83" s="64"/>
      <c r="I83" s="137"/>
      <c r="J83" s="39"/>
      <c r="K83" s="34"/>
      <c r="M83" s="34"/>
    </row>
    <row r="84" spans="2:13" s="35" customFormat="1" ht="15" customHeight="1">
      <c r="B84" s="38"/>
      <c r="C84" s="465" t="s">
        <v>354</v>
      </c>
      <c r="D84" s="466"/>
      <c r="E84" s="466"/>
      <c r="F84" s="466"/>
      <c r="G84" s="466"/>
      <c r="H84" s="467"/>
      <c r="I84" s="137"/>
      <c r="J84" s="99"/>
      <c r="K84" s="34"/>
      <c r="M84" s="34"/>
    </row>
    <row r="85" spans="2:13" s="35" customFormat="1" ht="15" customHeight="1">
      <c r="B85" s="38"/>
      <c r="C85" s="71" t="s">
        <v>81</v>
      </c>
      <c r="D85" s="72"/>
      <c r="E85" s="108"/>
      <c r="F85" s="72"/>
      <c r="G85" s="138">
        <v>200</v>
      </c>
      <c r="H85" s="53"/>
      <c r="I85" s="139"/>
      <c r="J85" s="91"/>
      <c r="K85" s="34"/>
      <c r="M85" s="34"/>
    </row>
    <row r="86" spans="2:13" s="35" customFormat="1" ht="15" customHeight="1">
      <c r="B86" s="38"/>
      <c r="C86" s="71" t="s">
        <v>82</v>
      </c>
      <c r="D86" s="72"/>
      <c r="E86" s="108"/>
      <c r="F86" s="53"/>
      <c r="G86" s="140">
        <v>1</v>
      </c>
      <c r="H86" s="53"/>
      <c r="I86" s="139"/>
      <c r="J86" s="91"/>
      <c r="K86" s="34"/>
      <c r="M86" s="34"/>
    </row>
    <row r="87" spans="2:13" s="35" customFormat="1" ht="15" customHeight="1">
      <c r="B87" s="38"/>
      <c r="C87" s="141" t="s">
        <v>83</v>
      </c>
      <c r="D87" s="142"/>
      <c r="E87" s="143"/>
      <c r="G87" s="140">
        <v>12</v>
      </c>
      <c r="H87" s="53"/>
      <c r="I87" s="139"/>
      <c r="J87" s="91"/>
      <c r="K87" s="34"/>
      <c r="M87" s="34"/>
    </row>
    <row r="88" spans="2:13" s="35" customFormat="1" ht="15" customHeight="1">
      <c r="B88" s="38"/>
      <c r="C88" s="80" t="s">
        <v>84</v>
      </c>
      <c r="D88" s="93"/>
      <c r="E88" s="94"/>
      <c r="F88" s="93"/>
      <c r="G88" s="136">
        <f>(G85*G86)/G87</f>
        <v>16.67</v>
      </c>
      <c r="H88" s="144"/>
      <c r="J88" s="64"/>
      <c r="K88" s="34"/>
      <c r="M88" s="34"/>
    </row>
    <row r="89" spans="2:13" s="35" customFormat="1" ht="16.5" customHeight="1">
      <c r="B89" s="38"/>
      <c r="C89" s="99"/>
      <c r="D89" s="64"/>
      <c r="E89" s="99"/>
      <c r="F89" s="64"/>
      <c r="G89" s="99"/>
      <c r="H89" s="64"/>
      <c r="I89" s="137"/>
      <c r="J89" s="64"/>
      <c r="K89" s="34"/>
      <c r="M89" s="34"/>
    </row>
    <row r="90" spans="3:10" ht="15" customHeight="1">
      <c r="C90" s="91"/>
      <c r="D90" s="39"/>
      <c r="E90" s="91"/>
      <c r="F90" s="39"/>
      <c r="G90" s="91"/>
      <c r="H90" s="39"/>
      <c r="I90" s="116"/>
      <c r="J90" s="64"/>
    </row>
    <row r="91" spans="2:13" s="35" customFormat="1" ht="15" customHeight="1">
      <c r="B91" s="38"/>
      <c r="C91" s="462" t="s">
        <v>355</v>
      </c>
      <c r="D91" s="463"/>
      <c r="E91" s="463"/>
      <c r="F91" s="463"/>
      <c r="G91" s="463"/>
      <c r="H91" s="463"/>
      <c r="I91" s="464"/>
      <c r="J91" s="39"/>
      <c r="K91" s="34"/>
      <c r="M91" s="34"/>
    </row>
    <row r="92" spans="2:13" s="35" customFormat="1" ht="15" customHeight="1">
      <c r="B92" s="38"/>
      <c r="C92" s="71" t="s">
        <v>118</v>
      </c>
      <c r="D92" s="72"/>
      <c r="E92" s="108"/>
      <c r="F92" s="72"/>
      <c r="G92" s="108"/>
      <c r="H92" s="72"/>
      <c r="I92" s="145">
        <f>H75</f>
        <v>17500</v>
      </c>
      <c r="J92" s="39"/>
      <c r="K92" s="34"/>
      <c r="M92" s="34"/>
    </row>
    <row r="93" spans="2:13" s="35" customFormat="1" ht="15" customHeight="1">
      <c r="B93" s="38"/>
      <c r="C93" s="71" t="s">
        <v>85</v>
      </c>
      <c r="D93" s="72"/>
      <c r="E93" s="108"/>
      <c r="F93" s="72"/>
      <c r="G93" s="108"/>
      <c r="H93" s="72"/>
      <c r="I93" s="145">
        <f>I82</f>
        <v>290</v>
      </c>
      <c r="J93" s="39"/>
      <c r="K93" s="34"/>
      <c r="M93" s="34"/>
    </row>
    <row r="94" spans="2:13" s="35" customFormat="1" ht="15" customHeight="1">
      <c r="B94" s="38"/>
      <c r="C94" s="71" t="s">
        <v>86</v>
      </c>
      <c r="D94" s="72"/>
      <c r="E94" s="108"/>
      <c r="F94" s="72"/>
      <c r="G94" s="108"/>
      <c r="H94" s="72"/>
      <c r="I94" s="145">
        <f>G88</f>
        <v>16.67</v>
      </c>
      <c r="J94" s="39"/>
      <c r="K94" s="34"/>
      <c r="M94" s="34"/>
    </row>
    <row r="95" spans="2:13" s="35" customFormat="1" ht="15" customHeight="1">
      <c r="B95" s="109"/>
      <c r="C95" s="101" t="s">
        <v>356</v>
      </c>
      <c r="D95" s="102"/>
      <c r="E95" s="110"/>
      <c r="F95" s="102"/>
      <c r="G95" s="110"/>
      <c r="H95" s="102"/>
      <c r="I95" s="95">
        <f>SUM(I92:I94)</f>
        <v>17806.67</v>
      </c>
      <c r="J95" s="113"/>
      <c r="K95" s="111"/>
      <c r="L95" s="69"/>
      <c r="M95" s="70"/>
    </row>
    <row r="96" spans="1:15" s="35" customFormat="1" ht="15" customHeight="1">
      <c r="A96" s="34"/>
      <c r="B96" s="114"/>
      <c r="C96" s="111"/>
      <c r="D96" s="112"/>
      <c r="E96" s="111"/>
      <c r="F96" s="112"/>
      <c r="G96" s="111"/>
      <c r="H96" s="112"/>
      <c r="I96" s="113"/>
      <c r="J96" s="111"/>
      <c r="K96" s="70"/>
      <c r="M96" s="34"/>
      <c r="O96" s="34"/>
    </row>
    <row r="97" spans="1:15" s="35" customFormat="1" ht="15" customHeight="1">
      <c r="A97" s="34"/>
      <c r="B97" s="38"/>
      <c r="C97" s="91"/>
      <c r="D97" s="39"/>
      <c r="E97" s="91"/>
      <c r="F97" s="39"/>
      <c r="G97" s="91"/>
      <c r="H97" s="39"/>
      <c r="I97" s="116"/>
      <c r="J97" s="64"/>
      <c r="K97" s="34"/>
      <c r="M97" s="34"/>
      <c r="O97" s="34"/>
    </row>
    <row r="98" spans="2:13" s="35" customFormat="1" ht="15" customHeight="1">
      <c r="B98" s="38"/>
      <c r="C98" s="115" t="s">
        <v>87</v>
      </c>
      <c r="D98" s="64"/>
      <c r="E98" s="99"/>
      <c r="F98" s="64"/>
      <c r="G98" s="99"/>
      <c r="H98" s="64"/>
      <c r="I98" s="137"/>
      <c r="J98" s="39"/>
      <c r="K98" s="34"/>
      <c r="M98" s="34"/>
    </row>
    <row r="99" spans="2:13" s="35" customFormat="1" ht="15" customHeight="1">
      <c r="B99" s="38"/>
      <c r="C99" s="115"/>
      <c r="D99" s="64"/>
      <c r="E99" s="99"/>
      <c r="F99" s="64"/>
      <c r="G99" s="99"/>
      <c r="H99" s="64"/>
      <c r="I99" s="137"/>
      <c r="J99" s="39"/>
      <c r="K99" s="34"/>
      <c r="M99" s="34"/>
    </row>
    <row r="100" spans="2:13" s="35" customFormat="1" ht="15" customHeight="1">
      <c r="B100" s="38"/>
      <c r="C100" s="421" t="s">
        <v>136</v>
      </c>
      <c r="D100" s="419"/>
      <c r="E100" s="419"/>
      <c r="F100" s="420"/>
      <c r="G100" s="146" t="s">
        <v>241</v>
      </c>
      <c r="H100" s="193" t="s">
        <v>137</v>
      </c>
      <c r="I100" s="147" t="s">
        <v>138</v>
      </c>
      <c r="J100" s="421" t="s">
        <v>135</v>
      </c>
      <c r="K100" s="420"/>
      <c r="M100" s="34"/>
    </row>
    <row r="101" spans="2:13" s="35" customFormat="1" ht="12.75">
      <c r="B101" s="38"/>
      <c r="C101" s="536" t="str">
        <f>'2. Poda'!C167:F167</f>
        <v>vassouras de piaçava com 20cm</v>
      </c>
      <c r="D101" s="501"/>
      <c r="E101" s="501"/>
      <c r="F101" s="502"/>
      <c r="G101" s="194">
        <v>6</v>
      </c>
      <c r="H101" s="148">
        <v>2</v>
      </c>
      <c r="I101" s="185">
        <f>'2. Poda'!I167</f>
        <v>22.93</v>
      </c>
      <c r="J101" s="495">
        <f>G101*I101/H101</f>
        <v>68.79</v>
      </c>
      <c r="K101" s="496"/>
      <c r="M101" s="34"/>
    </row>
    <row r="102" spans="2:13" s="35" customFormat="1" ht="12.75">
      <c r="B102" s="38"/>
      <c r="C102" s="500" t="s">
        <v>336</v>
      </c>
      <c r="D102" s="501"/>
      <c r="E102" s="501"/>
      <c r="F102" s="502"/>
      <c r="G102" s="194">
        <v>6</v>
      </c>
      <c r="H102" s="148">
        <v>12</v>
      </c>
      <c r="I102" s="185">
        <f>'2. Poda'!I168</f>
        <v>48.08</v>
      </c>
      <c r="J102" s="495">
        <f>G102*I102/H102</f>
        <v>24.04</v>
      </c>
      <c r="K102" s="496"/>
      <c r="M102" s="34"/>
    </row>
    <row r="103" spans="2:13" s="35" customFormat="1" ht="13.5" customHeight="1">
      <c r="B103" s="38"/>
      <c r="C103" s="500"/>
      <c r="D103" s="501"/>
      <c r="E103" s="501"/>
      <c r="F103" s="502"/>
      <c r="G103" s="194"/>
      <c r="H103" s="148"/>
      <c r="I103" s="185"/>
      <c r="J103" s="495"/>
      <c r="K103" s="496"/>
      <c r="M103" s="34"/>
    </row>
    <row r="104" spans="2:14" ht="15" customHeight="1">
      <c r="B104" s="109"/>
      <c r="C104" s="101" t="s">
        <v>300</v>
      </c>
      <c r="D104" s="102"/>
      <c r="E104" s="110"/>
      <c r="F104" s="102"/>
      <c r="G104" s="110"/>
      <c r="H104" s="102"/>
      <c r="I104" s="151"/>
      <c r="J104" s="418">
        <f>SUM(J101:K103)</f>
        <v>92.83</v>
      </c>
      <c r="K104" s="413"/>
      <c r="L104" s="69"/>
      <c r="M104" s="70"/>
      <c r="N104" s="153"/>
    </row>
    <row r="105" spans="2:14" ht="15" customHeight="1">
      <c r="B105" s="109"/>
      <c r="C105" s="111"/>
      <c r="D105" s="112"/>
      <c r="E105" s="111"/>
      <c r="F105" s="112"/>
      <c r="G105" s="111"/>
      <c r="H105" s="112"/>
      <c r="I105" s="91"/>
      <c r="J105" s="192"/>
      <c r="K105" s="199"/>
      <c r="L105" s="69"/>
      <c r="M105" s="70"/>
      <c r="N105" s="153"/>
    </row>
    <row r="106" spans="2:14" ht="15" customHeight="1" hidden="1">
      <c r="B106" s="109"/>
      <c r="C106" s="111"/>
      <c r="D106" s="112"/>
      <c r="E106" s="111"/>
      <c r="F106" s="112"/>
      <c r="G106" s="111"/>
      <c r="H106" s="112"/>
      <c r="I106" s="91"/>
      <c r="J106" s="154"/>
      <c r="K106" s="154"/>
      <c r="L106" s="69"/>
      <c r="M106" s="70"/>
      <c r="N106" s="153"/>
    </row>
    <row r="107" spans="2:14" ht="15" customHeight="1" hidden="1">
      <c r="B107" s="109"/>
      <c r="C107" s="111"/>
      <c r="D107" s="112"/>
      <c r="E107" s="111"/>
      <c r="F107" s="112"/>
      <c r="G107" s="111"/>
      <c r="H107" s="112"/>
      <c r="I107" s="91"/>
      <c r="J107" s="192"/>
      <c r="K107" s="192"/>
      <c r="L107" s="69"/>
      <c r="M107" s="70"/>
      <c r="N107" s="153"/>
    </row>
    <row r="108" spans="3:14" ht="15" customHeight="1">
      <c r="C108" s="99"/>
      <c r="D108" s="64"/>
      <c r="E108" s="99"/>
      <c r="F108" s="64"/>
      <c r="G108" s="99"/>
      <c r="H108" s="64"/>
      <c r="I108" s="137"/>
      <c r="J108" s="99"/>
      <c r="N108" s="153"/>
    </row>
    <row r="109" spans="3:14" ht="15" customHeight="1">
      <c r="C109" s="166" t="s">
        <v>176</v>
      </c>
      <c r="D109" s="72"/>
      <c r="E109" s="108"/>
      <c r="F109" s="72"/>
      <c r="G109" s="108"/>
      <c r="H109" s="72"/>
      <c r="I109" s="167"/>
      <c r="J109" s="39"/>
      <c r="N109" s="153"/>
    </row>
    <row r="110" spans="3:14" ht="15" customHeight="1">
      <c r="C110" s="168" t="s">
        <v>50</v>
      </c>
      <c r="D110" s="169"/>
      <c r="E110" s="149"/>
      <c r="F110" s="169"/>
      <c r="G110" s="149"/>
      <c r="H110" s="131"/>
      <c r="I110" s="170">
        <f>H68</f>
        <v>6390.61</v>
      </c>
      <c r="J110" s="39"/>
      <c r="N110" s="153"/>
    </row>
    <row r="111" spans="3:14" ht="15" customHeight="1">
      <c r="C111" s="71" t="s">
        <v>154</v>
      </c>
      <c r="D111" s="72"/>
      <c r="E111" s="108"/>
      <c r="F111" s="72"/>
      <c r="G111" s="108"/>
      <c r="H111" s="53"/>
      <c r="I111" s="171">
        <f>I95</f>
        <v>17806.67</v>
      </c>
      <c r="J111" s="39"/>
      <c r="N111" s="153"/>
    </row>
    <row r="112" spans="3:14" ht="15" customHeight="1">
      <c r="C112" s="105" t="s">
        <v>64</v>
      </c>
      <c r="D112" s="39"/>
      <c r="E112" s="91"/>
      <c r="F112" s="39"/>
      <c r="G112" s="91"/>
      <c r="H112" s="134"/>
      <c r="I112" s="172">
        <f>J104</f>
        <v>92.83</v>
      </c>
      <c r="J112" s="39"/>
      <c r="N112" s="153"/>
    </row>
    <row r="113" spans="2:14" ht="15" customHeight="1">
      <c r="B113" s="109"/>
      <c r="C113" s="101" t="s">
        <v>141</v>
      </c>
      <c r="D113" s="102"/>
      <c r="E113" s="110"/>
      <c r="F113" s="102"/>
      <c r="G113" s="110"/>
      <c r="H113" s="173"/>
      <c r="I113" s="174">
        <f>SUM(I110:I112)</f>
        <v>24290.11</v>
      </c>
      <c r="J113" s="111"/>
      <c r="K113" s="70"/>
      <c r="L113" s="69"/>
      <c r="M113" s="70"/>
      <c r="N113" s="153"/>
    </row>
    <row r="114" spans="2:11" ht="15" customHeight="1">
      <c r="B114" s="109"/>
      <c r="C114" s="123"/>
      <c r="D114" s="175"/>
      <c r="E114" s="123"/>
      <c r="F114" s="175"/>
      <c r="G114" s="123"/>
      <c r="H114" s="175"/>
      <c r="I114" s="176"/>
      <c r="J114" s="112"/>
      <c r="K114" s="70"/>
    </row>
    <row r="115" spans="2:13" ht="12.75">
      <c r="B115" s="177"/>
      <c r="C115" s="421" t="s">
        <v>231</v>
      </c>
      <c r="D115" s="419"/>
      <c r="E115" s="419"/>
      <c r="F115" s="419"/>
      <c r="G115" s="419"/>
      <c r="H115" s="420"/>
      <c r="I115" s="421">
        <f>I113</f>
        <v>24290.11</v>
      </c>
      <c r="J115" s="420"/>
      <c r="K115" s="64"/>
      <c r="L115" s="64"/>
      <c r="M115" s="178"/>
    </row>
    <row r="116" spans="2:12" ht="12.75">
      <c r="B116" s="114"/>
      <c r="C116" s="421" t="s">
        <v>65</v>
      </c>
      <c r="D116" s="419"/>
      <c r="E116" s="419"/>
      <c r="F116" s="419"/>
      <c r="G116" s="419"/>
      <c r="H116" s="420"/>
      <c r="I116" s="476">
        <f>'BDI REF. SLU'!B14</f>
        <v>0.3512</v>
      </c>
      <c r="J116" s="477"/>
      <c r="K116" s="91"/>
      <c r="L116" s="39"/>
    </row>
    <row r="117" spans="2:12" ht="12.75">
      <c r="B117" s="114"/>
      <c r="C117" s="421" t="s">
        <v>232</v>
      </c>
      <c r="D117" s="419"/>
      <c r="E117" s="419"/>
      <c r="F117" s="419"/>
      <c r="G117" s="419"/>
      <c r="H117" s="420"/>
      <c r="I117" s="421">
        <f>ROUND(I115*(I116),2)-1</f>
        <v>8529.69</v>
      </c>
      <c r="J117" s="420"/>
      <c r="K117" s="64"/>
      <c r="L117" s="179"/>
    </row>
    <row r="118" spans="2:12" ht="12.75">
      <c r="B118" s="114"/>
      <c r="C118" s="421" t="s">
        <v>233</v>
      </c>
      <c r="D118" s="419"/>
      <c r="E118" s="419"/>
      <c r="F118" s="419"/>
      <c r="G118" s="419"/>
      <c r="H118" s="420"/>
      <c r="I118" s="421">
        <f>I115+I117</f>
        <v>32819.8</v>
      </c>
      <c r="J118" s="420"/>
      <c r="K118" s="64"/>
      <c r="L118" s="39"/>
    </row>
    <row r="119" spans="2:14" ht="12.75">
      <c r="B119" s="114"/>
      <c r="C119" s="421" t="s">
        <v>51</v>
      </c>
      <c r="D119" s="419"/>
      <c r="E119" s="419"/>
      <c r="F119" s="419"/>
      <c r="G119" s="419"/>
      <c r="H119" s="420"/>
      <c r="I119" s="421">
        <v>1</v>
      </c>
      <c r="J119" s="420"/>
      <c r="K119" s="64"/>
      <c r="L119" s="39"/>
      <c r="M119" s="91"/>
      <c r="N119" s="39"/>
    </row>
    <row r="120" spans="2:14" ht="12.75">
      <c r="B120" s="114"/>
      <c r="C120" s="421" t="s">
        <v>52</v>
      </c>
      <c r="D120" s="419"/>
      <c r="E120" s="419"/>
      <c r="F120" s="419"/>
      <c r="G120" s="419"/>
      <c r="H120" s="420"/>
      <c r="I120" s="421">
        <f>I118/I119</f>
        <v>32819.8</v>
      </c>
      <c r="J120" s="420"/>
      <c r="K120" s="64"/>
      <c r="L120" s="39"/>
      <c r="M120" s="91"/>
      <c r="N120" s="39"/>
    </row>
    <row r="121" spans="2:14" ht="15" customHeight="1">
      <c r="B121" s="114"/>
      <c r="C121" s="111"/>
      <c r="D121" s="112"/>
      <c r="E121" s="111"/>
      <c r="F121" s="112"/>
      <c r="G121" s="111"/>
      <c r="H121" s="112"/>
      <c r="I121" s="113"/>
      <c r="J121" s="175"/>
      <c r="K121" s="123"/>
      <c r="L121" s="39"/>
      <c r="M121" s="91"/>
      <c r="N121" s="39"/>
    </row>
    <row r="122" spans="2:12" ht="19.5" customHeight="1">
      <c r="B122" s="114"/>
      <c r="C122" s="123"/>
      <c r="D122" s="175"/>
      <c r="E122" s="123"/>
      <c r="F122" s="175"/>
      <c r="G122" s="123"/>
      <c r="H122" s="175"/>
      <c r="I122" s="123"/>
      <c r="J122" s="175"/>
      <c r="K122" s="123"/>
      <c r="L122" s="39"/>
    </row>
    <row r="123" spans="2:12" ht="19.5" customHeight="1">
      <c r="B123" s="114"/>
      <c r="C123" s="123"/>
      <c r="D123" s="175"/>
      <c r="E123" s="123"/>
      <c r="F123" s="175"/>
      <c r="G123" s="123"/>
      <c r="H123" s="175"/>
      <c r="I123" s="123"/>
      <c r="J123" s="175"/>
      <c r="K123" s="123"/>
      <c r="L123" s="39"/>
    </row>
    <row r="124" spans="2:12" ht="19.5" customHeight="1">
      <c r="B124" s="114"/>
      <c r="C124" s="123"/>
      <c r="D124" s="175"/>
      <c r="E124" s="123"/>
      <c r="F124" s="175"/>
      <c r="G124" s="123"/>
      <c r="H124" s="175"/>
      <c r="I124" s="123"/>
      <c r="J124" s="175"/>
      <c r="K124" s="123"/>
      <c r="L124" s="39"/>
    </row>
  </sheetData>
  <sheetProtection/>
  <mergeCells count="84">
    <mergeCell ref="C119:H119"/>
    <mergeCell ref="I119:J119"/>
    <mergeCell ref="C120:H120"/>
    <mergeCell ref="I120:J120"/>
    <mergeCell ref="J48:K48"/>
    <mergeCell ref="C67:D67"/>
    <mergeCell ref="E67:F67"/>
    <mergeCell ref="G67:H67"/>
    <mergeCell ref="C116:H116"/>
    <mergeCell ref="I116:J116"/>
    <mergeCell ref="C117:H117"/>
    <mergeCell ref="I117:J117"/>
    <mergeCell ref="C118:H118"/>
    <mergeCell ref="I118:J118"/>
    <mergeCell ref="C115:H115"/>
    <mergeCell ref="I115:J115"/>
    <mergeCell ref="C103:F103"/>
    <mergeCell ref="J103:K103"/>
    <mergeCell ref="J104:K104"/>
    <mergeCell ref="C8:G8"/>
    <mergeCell ref="H8:I8"/>
    <mergeCell ref="C102:F102"/>
    <mergeCell ref="J102:K102"/>
    <mergeCell ref="C101:F101"/>
    <mergeCell ref="J101:K101"/>
    <mergeCell ref="C100:F100"/>
    <mergeCell ref="J100:K100"/>
    <mergeCell ref="C91:I91"/>
    <mergeCell ref="H68:I68"/>
    <mergeCell ref="H73:I73"/>
    <mergeCell ref="C74:E74"/>
    <mergeCell ref="H74:I74"/>
    <mergeCell ref="H75:I75"/>
    <mergeCell ref="C84:H84"/>
    <mergeCell ref="C66:D66"/>
    <mergeCell ref="E66:F66"/>
    <mergeCell ref="G66:H66"/>
    <mergeCell ref="J30:K30"/>
    <mergeCell ref="C64:I64"/>
    <mergeCell ref="C65:D65"/>
    <mergeCell ref="E65:F65"/>
    <mergeCell ref="G65:H65"/>
    <mergeCell ref="C24:I24"/>
    <mergeCell ref="J24:K24"/>
    <mergeCell ref="C25:I25"/>
    <mergeCell ref="J25:K25"/>
    <mergeCell ref="H21:I21"/>
    <mergeCell ref="J21:K21"/>
    <mergeCell ref="H22:I22"/>
    <mergeCell ref="J22:K22"/>
    <mergeCell ref="C23:F23"/>
    <mergeCell ref="H23:I23"/>
    <mergeCell ref="J23:K23"/>
    <mergeCell ref="C19:F19"/>
    <mergeCell ref="H19:I19"/>
    <mergeCell ref="J19:K19"/>
    <mergeCell ref="H20:I20"/>
    <mergeCell ref="J20:K20"/>
    <mergeCell ref="C17:F17"/>
    <mergeCell ref="H17:I17"/>
    <mergeCell ref="J17:K17"/>
    <mergeCell ref="C18:F18"/>
    <mergeCell ref="H18:I18"/>
    <mergeCell ref="J18:K18"/>
    <mergeCell ref="C15:F15"/>
    <mergeCell ref="H15:I15"/>
    <mergeCell ref="J15:K15"/>
    <mergeCell ref="C16:F16"/>
    <mergeCell ref="H16:I16"/>
    <mergeCell ref="J16:K16"/>
    <mergeCell ref="C9:G9"/>
    <mergeCell ref="H9:I9"/>
    <mergeCell ref="J9:K9"/>
    <mergeCell ref="C13:K13"/>
    <mergeCell ref="C14:F14"/>
    <mergeCell ref="H14:I14"/>
    <mergeCell ref="J14:K14"/>
    <mergeCell ref="C7:G7"/>
    <mergeCell ref="H7:I7"/>
    <mergeCell ref="C1:J1"/>
    <mergeCell ref="D3:J3"/>
    <mergeCell ref="C6:G6"/>
    <mergeCell ref="H6:I6"/>
    <mergeCell ref="J6:K6"/>
  </mergeCells>
  <printOptions horizontalCentered="1"/>
  <pageMargins left="0.35433070866141736" right="0.31496062992125984" top="0.4330708661417323" bottom="1.0236220472440944" header="0.5118110236220472" footer="0.4724409448818898"/>
  <pageSetup fitToHeight="8" horizontalDpi="600" verticalDpi="600" orientation="portrait" paperSize="9" scale="75" r:id="rId1"/>
  <rowBreaks count="1" manualBreakCount="1">
    <brk id="62" min="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S184"/>
  <sheetViews>
    <sheetView showGridLines="0" view="pageBreakPreview" zoomScale="115" zoomScaleSheetLayoutView="115" zoomScalePageLayoutView="0" workbookViewId="0" topLeftCell="A1">
      <selection activeCell="I166" sqref="I166"/>
    </sheetView>
  </sheetViews>
  <sheetFormatPr defaultColWidth="8.7109375" defaultRowHeight="19.5" customHeight="1"/>
  <cols>
    <col min="1" max="1" width="4.28125" style="34" customWidth="1"/>
    <col min="2" max="2" width="3.57421875" style="38" customWidth="1"/>
    <col min="3" max="3" width="11.7109375" style="34" customWidth="1"/>
    <col min="4" max="4" width="20.421875" style="35" customWidth="1"/>
    <col min="5" max="5" width="14.57421875" style="34" customWidth="1"/>
    <col min="6" max="6" width="17.421875" style="35" customWidth="1"/>
    <col min="7" max="7" width="14.57421875" style="34" customWidth="1"/>
    <col min="8" max="8" width="3.7109375" style="35" customWidth="1"/>
    <col min="9" max="9" width="15.7109375" style="34" customWidth="1"/>
    <col min="10" max="10" width="8.7109375" style="35" customWidth="1"/>
    <col min="11" max="11" width="10.7109375" style="34" customWidth="1"/>
    <col min="12" max="12" width="3.7109375" style="35" customWidth="1"/>
    <col min="13" max="13" width="9.28125" style="35" customWidth="1"/>
    <col min="14" max="14" width="11.28125" style="34" customWidth="1"/>
    <col min="15" max="16384" width="8.7109375" style="34" customWidth="1"/>
  </cols>
  <sheetData>
    <row r="1" spans="2:14" s="20" customFormat="1" ht="30" customHeight="1">
      <c r="B1" s="200"/>
      <c r="C1" s="542" t="str">
        <f>'1. Forn. de Mudas e Plantio'!C1:L1</f>
        <v>PREFEITURA MUNICIPAL DE POUSO ALEGRE</v>
      </c>
      <c r="D1" s="543"/>
      <c r="E1" s="543"/>
      <c r="F1" s="543"/>
      <c r="G1" s="543"/>
      <c r="H1" s="543"/>
      <c r="I1" s="543"/>
      <c r="J1" s="543"/>
      <c r="K1" s="544"/>
      <c r="L1" s="201"/>
      <c r="M1" s="19"/>
      <c r="N1" s="19"/>
    </row>
    <row r="2" spans="2:14" s="20" customFormat="1" ht="15.75" customHeight="1">
      <c r="B2" s="200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19"/>
      <c r="N2" s="19"/>
    </row>
    <row r="3" spans="3:13" s="20" customFormat="1" ht="19.5" customHeight="1">
      <c r="C3" s="553" t="s">
        <v>165</v>
      </c>
      <c r="D3" s="545"/>
      <c r="E3" s="545" t="s">
        <v>197</v>
      </c>
      <c r="F3" s="545"/>
      <c r="G3" s="545"/>
      <c r="H3" s="545"/>
      <c r="I3" s="545"/>
      <c r="J3" s="545"/>
      <c r="K3" s="546"/>
      <c r="L3" s="23"/>
      <c r="M3" s="26"/>
    </row>
    <row r="4" spans="3:12" ht="35.25" customHeight="1">
      <c r="C4" s="203"/>
      <c r="E4" s="203"/>
      <c r="F4" s="203"/>
      <c r="G4" s="203"/>
      <c r="H4" s="204"/>
      <c r="I4" s="205"/>
      <c r="J4" s="206">
        <f>'1. Forn. de Mudas e Plantio'!J4</f>
        <v>44621</v>
      </c>
      <c r="L4" s="207"/>
    </row>
    <row r="5" spans="3:13" ht="15" customHeight="1">
      <c r="C5" s="513" t="s">
        <v>90</v>
      </c>
      <c r="D5" s="514"/>
      <c r="E5" s="514"/>
      <c r="F5" s="514"/>
      <c r="G5" s="514"/>
      <c r="H5" s="514"/>
      <c r="I5" s="515"/>
      <c r="J5" s="111"/>
      <c r="K5" s="111"/>
      <c r="L5" s="111"/>
      <c r="M5" s="34"/>
    </row>
    <row r="6" spans="3:9" ht="15" customHeight="1">
      <c r="C6" s="557" t="s">
        <v>142</v>
      </c>
      <c r="D6" s="558"/>
      <c r="E6" s="558"/>
      <c r="F6" s="558"/>
      <c r="G6" s="558"/>
      <c r="H6" s="555" t="s">
        <v>121</v>
      </c>
      <c r="I6" s="556"/>
    </row>
    <row r="7" spans="2:19" s="35" customFormat="1" ht="15" customHeight="1">
      <c r="B7" s="38"/>
      <c r="C7" s="40" t="s">
        <v>361</v>
      </c>
      <c r="D7" s="72"/>
      <c r="E7" s="41"/>
      <c r="F7" s="72"/>
      <c r="G7" s="108"/>
      <c r="H7" s="52"/>
      <c r="I7" s="208">
        <v>1</v>
      </c>
      <c r="L7" s="209"/>
      <c r="N7" s="34"/>
      <c r="O7" s="34"/>
      <c r="P7" s="34"/>
      <c r="Q7" s="34"/>
      <c r="R7" s="34"/>
      <c r="S7" s="34"/>
    </row>
    <row r="8" spans="2:19" s="35" customFormat="1" ht="15" customHeight="1">
      <c r="B8" s="38"/>
      <c r="C8" s="210" t="s">
        <v>67</v>
      </c>
      <c r="D8" s="39"/>
      <c r="E8" s="209"/>
      <c r="F8" s="39"/>
      <c r="G8" s="91"/>
      <c r="H8" s="187"/>
      <c r="I8" s="211">
        <v>1</v>
      </c>
      <c r="L8" s="209"/>
      <c r="N8" s="34"/>
      <c r="O8" s="34"/>
      <c r="P8" s="34"/>
      <c r="Q8" s="34"/>
      <c r="R8" s="34"/>
      <c r="S8" s="34"/>
    </row>
    <row r="9" spans="2:19" s="35" customFormat="1" ht="15" customHeight="1">
      <c r="B9" s="38"/>
      <c r="C9" s="40" t="s">
        <v>62</v>
      </c>
      <c r="D9" s="72"/>
      <c r="E9" s="41"/>
      <c r="F9" s="72"/>
      <c r="G9" s="108"/>
      <c r="H9" s="52"/>
      <c r="I9" s="208">
        <v>1</v>
      </c>
      <c r="L9" s="209"/>
      <c r="N9" s="34"/>
      <c r="O9" s="34"/>
      <c r="P9" s="34"/>
      <c r="Q9" s="34"/>
      <c r="R9" s="34"/>
      <c r="S9" s="34"/>
    </row>
    <row r="10" spans="2:19" s="35" customFormat="1" ht="15" customHeight="1">
      <c r="B10" s="38"/>
      <c r="C10" s="40" t="s">
        <v>159</v>
      </c>
      <c r="D10" s="72"/>
      <c r="E10" s="41"/>
      <c r="F10" s="72"/>
      <c r="G10" s="108"/>
      <c r="H10" s="52"/>
      <c r="I10" s="208">
        <v>1</v>
      </c>
      <c r="L10" s="209"/>
      <c r="N10" s="34"/>
      <c r="O10" s="34"/>
      <c r="P10" s="34"/>
      <c r="Q10" s="34"/>
      <c r="R10" s="34"/>
      <c r="S10" s="34"/>
    </row>
    <row r="11" spans="2:19" s="35" customFormat="1" ht="15" customHeight="1">
      <c r="B11" s="38"/>
      <c r="C11" s="34"/>
      <c r="E11" s="34"/>
      <c r="G11" s="34"/>
      <c r="K11" s="34"/>
      <c r="N11" s="34"/>
      <c r="O11" s="34"/>
      <c r="P11" s="34"/>
      <c r="Q11" s="34"/>
      <c r="R11" s="34"/>
      <c r="S11" s="34"/>
    </row>
    <row r="12" spans="2:19" s="35" customFormat="1" ht="15" customHeight="1" hidden="1">
      <c r="B12" s="38"/>
      <c r="C12" s="34"/>
      <c r="E12" s="34"/>
      <c r="G12" s="34"/>
      <c r="K12" s="34"/>
      <c r="N12" s="34"/>
      <c r="O12" s="34"/>
      <c r="P12" s="34"/>
      <c r="Q12" s="34"/>
      <c r="R12" s="34"/>
      <c r="S12" s="34"/>
    </row>
    <row r="13" spans="2:19" s="35" customFormat="1" ht="15" customHeight="1">
      <c r="B13" s="38"/>
      <c r="C13" s="212" t="s">
        <v>35</v>
      </c>
      <c r="D13" s="213"/>
      <c r="E13" s="214"/>
      <c r="F13" s="213"/>
      <c r="G13" s="214"/>
      <c r="H13" s="213"/>
      <c r="I13" s="214"/>
      <c r="J13" s="213"/>
      <c r="K13" s="214"/>
      <c r="N13" s="34"/>
      <c r="O13" s="34"/>
      <c r="P13" s="34"/>
      <c r="Q13" s="34"/>
      <c r="R13" s="34"/>
      <c r="S13" s="34"/>
    </row>
    <row r="14" spans="2:19" s="35" customFormat="1" ht="15" customHeight="1">
      <c r="B14" s="38"/>
      <c r="C14" s="212"/>
      <c r="D14" s="213"/>
      <c r="E14" s="214"/>
      <c r="F14" s="213"/>
      <c r="G14" s="214"/>
      <c r="H14" s="213"/>
      <c r="I14" s="214"/>
      <c r="J14" s="213"/>
      <c r="K14" s="214"/>
      <c r="N14" s="34"/>
      <c r="O14" s="34"/>
      <c r="P14" s="34"/>
      <c r="Q14" s="34"/>
      <c r="R14" s="34"/>
      <c r="S14" s="34"/>
    </row>
    <row r="15" spans="2:19" s="35" customFormat="1" ht="15" customHeight="1">
      <c r="B15" s="38"/>
      <c r="C15" s="513" t="s">
        <v>143</v>
      </c>
      <c r="D15" s="514"/>
      <c r="E15" s="514"/>
      <c r="F15" s="514"/>
      <c r="G15" s="514"/>
      <c r="H15" s="514"/>
      <c r="I15" s="514"/>
      <c r="J15" s="514"/>
      <c r="K15" s="515"/>
      <c r="N15" s="34"/>
      <c r="O15" s="34"/>
      <c r="P15" s="34"/>
      <c r="Q15" s="34"/>
      <c r="R15" s="34"/>
      <c r="S15" s="34"/>
    </row>
    <row r="16" spans="2:19" s="35" customFormat="1" ht="15" customHeight="1">
      <c r="B16" s="38"/>
      <c r="C16" s="395" t="s">
        <v>12</v>
      </c>
      <c r="D16" s="559"/>
      <c r="E16" s="559"/>
      <c r="F16" s="396"/>
      <c r="G16" s="51" t="s">
        <v>42</v>
      </c>
      <c r="H16" s="554" t="s">
        <v>45</v>
      </c>
      <c r="I16" s="554"/>
      <c r="J16" s="554" t="s">
        <v>46</v>
      </c>
      <c r="K16" s="554"/>
      <c r="N16" s="34"/>
      <c r="O16" s="34"/>
      <c r="P16" s="34"/>
      <c r="Q16" s="34"/>
      <c r="R16" s="34"/>
      <c r="S16" s="34"/>
    </row>
    <row r="17" spans="2:19" s="35" customFormat="1" ht="15" customHeight="1">
      <c r="B17" s="38"/>
      <c r="C17" s="48" t="s">
        <v>131</v>
      </c>
      <c r="D17" s="49"/>
      <c r="E17" s="49"/>
      <c r="F17" s="50"/>
      <c r="G17" s="51">
        <f>2*3</f>
        <v>6</v>
      </c>
      <c r="H17" s="395">
        <f>Insumos!D69</f>
        <v>41.67</v>
      </c>
      <c r="I17" s="396"/>
      <c r="J17" s="395">
        <f aca="true" t="shared" si="0" ref="J17:J22">ROUND(G17*H17,2)</f>
        <v>250.02</v>
      </c>
      <c r="K17" s="396"/>
      <c r="N17" s="34"/>
      <c r="O17" s="34"/>
      <c r="P17" s="34"/>
      <c r="Q17" s="34"/>
      <c r="R17" s="34"/>
      <c r="S17" s="34"/>
    </row>
    <row r="18" spans="2:19" s="35" customFormat="1" ht="15" customHeight="1">
      <c r="B18" s="38"/>
      <c r="C18" s="422" t="s">
        <v>132</v>
      </c>
      <c r="D18" s="423"/>
      <c r="E18" s="423"/>
      <c r="F18" s="424"/>
      <c r="G18" s="51">
        <f>2*3</f>
        <v>6</v>
      </c>
      <c r="H18" s="395">
        <f>Insumos!D67</f>
        <v>82.75</v>
      </c>
      <c r="I18" s="396"/>
      <c r="J18" s="395">
        <f t="shared" si="0"/>
        <v>496.5</v>
      </c>
      <c r="K18" s="396"/>
      <c r="N18" s="34"/>
      <c r="O18" s="34"/>
      <c r="P18" s="34"/>
      <c r="Q18" s="34"/>
      <c r="R18" s="34"/>
      <c r="S18" s="34"/>
    </row>
    <row r="19" spans="2:19" s="35" customFormat="1" ht="15" customHeight="1">
      <c r="B19" s="38"/>
      <c r="C19" s="422" t="s">
        <v>129</v>
      </c>
      <c r="D19" s="423"/>
      <c r="E19" s="423"/>
      <c r="F19" s="424"/>
      <c r="G19" s="51">
        <f>1*2</f>
        <v>2</v>
      </c>
      <c r="H19" s="395">
        <f>Insumos!D71</f>
        <v>38.28</v>
      </c>
      <c r="I19" s="396"/>
      <c r="J19" s="395">
        <f t="shared" si="0"/>
        <v>76.56</v>
      </c>
      <c r="K19" s="396"/>
      <c r="N19" s="34"/>
      <c r="O19" s="34"/>
      <c r="P19" s="34"/>
      <c r="Q19" s="34"/>
      <c r="R19" s="34"/>
      <c r="S19" s="34"/>
    </row>
    <row r="20" spans="2:19" s="35" customFormat="1" ht="15" customHeight="1">
      <c r="B20" s="38"/>
      <c r="C20" s="422" t="s">
        <v>17</v>
      </c>
      <c r="D20" s="423"/>
      <c r="E20" s="423"/>
      <c r="F20" s="424"/>
      <c r="G20" s="51">
        <f>1*2</f>
        <v>2</v>
      </c>
      <c r="H20" s="395">
        <f>Insumos!D79</f>
        <v>41.8</v>
      </c>
      <c r="I20" s="396"/>
      <c r="J20" s="395">
        <f t="shared" si="0"/>
        <v>83.6</v>
      </c>
      <c r="K20" s="396"/>
      <c r="N20" s="34"/>
      <c r="O20" s="34"/>
      <c r="P20" s="34"/>
      <c r="Q20" s="34"/>
      <c r="R20" s="34"/>
      <c r="S20" s="34"/>
    </row>
    <row r="21" spans="2:19" s="35" customFormat="1" ht="15" customHeight="1">
      <c r="B21" s="38"/>
      <c r="C21" s="422" t="s">
        <v>79</v>
      </c>
      <c r="D21" s="423"/>
      <c r="E21" s="423"/>
      <c r="F21" s="424"/>
      <c r="G21" s="51">
        <v>1</v>
      </c>
      <c r="H21" s="395">
        <f>Insumos!D85</f>
        <v>27.33</v>
      </c>
      <c r="I21" s="396"/>
      <c r="J21" s="395">
        <f t="shared" si="0"/>
        <v>27.33</v>
      </c>
      <c r="K21" s="396"/>
      <c r="N21" s="34"/>
      <c r="O21" s="34"/>
      <c r="P21" s="34"/>
      <c r="Q21" s="34"/>
      <c r="R21" s="34"/>
      <c r="S21" s="34"/>
    </row>
    <row r="22" spans="2:19" s="35" customFormat="1" ht="15" customHeight="1">
      <c r="B22" s="38"/>
      <c r="C22" s="435" t="s">
        <v>58</v>
      </c>
      <c r="D22" s="436"/>
      <c r="E22" s="436"/>
      <c r="F22" s="437"/>
      <c r="G22" s="52">
        <f>1*2</f>
        <v>2</v>
      </c>
      <c r="H22" s="395">
        <f>Insumos!D82</f>
        <v>14.45</v>
      </c>
      <c r="I22" s="396"/>
      <c r="J22" s="395">
        <f t="shared" si="0"/>
        <v>28.9</v>
      </c>
      <c r="K22" s="396"/>
      <c r="N22" s="34"/>
      <c r="O22" s="34"/>
      <c r="P22" s="34"/>
      <c r="Q22" s="34"/>
      <c r="R22" s="34"/>
      <c r="S22" s="34"/>
    </row>
    <row r="23" spans="2:19" s="35" customFormat="1" ht="15" customHeight="1">
      <c r="B23" s="38"/>
      <c r="C23" s="422" t="s">
        <v>44</v>
      </c>
      <c r="D23" s="423"/>
      <c r="E23" s="423"/>
      <c r="F23" s="423"/>
      <c r="G23" s="423"/>
      <c r="H23" s="423"/>
      <c r="I23" s="424"/>
      <c r="J23" s="458">
        <f>SUM(J17:K22)</f>
        <v>962.91</v>
      </c>
      <c r="K23" s="460"/>
      <c r="N23" s="34"/>
      <c r="O23" s="34"/>
      <c r="P23" s="34"/>
      <c r="Q23" s="34"/>
      <c r="R23" s="34"/>
      <c r="S23" s="34"/>
    </row>
    <row r="24" spans="2:19" s="35" customFormat="1" ht="15" customHeight="1">
      <c r="B24" s="38"/>
      <c r="C24" s="438" t="s">
        <v>47</v>
      </c>
      <c r="D24" s="439"/>
      <c r="E24" s="439"/>
      <c r="F24" s="439"/>
      <c r="G24" s="439"/>
      <c r="H24" s="439"/>
      <c r="I24" s="440"/>
      <c r="J24" s="513">
        <f>ROUND(J23/12,2)</f>
        <v>80.24</v>
      </c>
      <c r="K24" s="515"/>
      <c r="N24" s="34"/>
      <c r="O24" s="34"/>
      <c r="P24" s="34"/>
      <c r="Q24" s="34"/>
      <c r="R24" s="34"/>
      <c r="S24" s="34"/>
    </row>
    <row r="25" spans="2:19" s="35" customFormat="1" ht="15" customHeight="1">
      <c r="B25" s="38"/>
      <c r="C25" s="63"/>
      <c r="D25" s="63"/>
      <c r="E25" s="63"/>
      <c r="F25" s="63"/>
      <c r="G25" s="63"/>
      <c r="H25" s="63"/>
      <c r="I25" s="63"/>
      <c r="J25" s="64"/>
      <c r="K25" s="64"/>
      <c r="N25" s="34"/>
      <c r="O25" s="34"/>
      <c r="P25" s="34"/>
      <c r="Q25" s="34"/>
      <c r="R25" s="34"/>
      <c r="S25" s="34"/>
    </row>
    <row r="26" spans="2:19" s="35" customFormat="1" ht="15" customHeight="1">
      <c r="B26" s="38"/>
      <c r="C26" s="513" t="s">
        <v>166</v>
      </c>
      <c r="D26" s="514"/>
      <c r="E26" s="514"/>
      <c r="F26" s="514"/>
      <c r="G26" s="514"/>
      <c r="H26" s="514"/>
      <c r="I26" s="514"/>
      <c r="J26" s="514"/>
      <c r="K26" s="515"/>
      <c r="N26" s="34"/>
      <c r="O26" s="34"/>
      <c r="P26" s="34"/>
      <c r="Q26" s="34"/>
      <c r="R26" s="34"/>
      <c r="S26" s="34"/>
    </row>
    <row r="27" spans="2:19" s="35" customFormat="1" ht="15" customHeight="1">
      <c r="B27" s="38"/>
      <c r="C27" s="421" t="s">
        <v>12</v>
      </c>
      <c r="D27" s="419"/>
      <c r="E27" s="419"/>
      <c r="F27" s="420"/>
      <c r="G27" s="47" t="s">
        <v>42</v>
      </c>
      <c r="H27" s="452" t="s">
        <v>45</v>
      </c>
      <c r="I27" s="452"/>
      <c r="J27" s="452" t="s">
        <v>46</v>
      </c>
      <c r="K27" s="452"/>
      <c r="N27" s="34"/>
      <c r="O27" s="34"/>
      <c r="P27" s="34"/>
      <c r="Q27" s="34"/>
      <c r="R27" s="34"/>
      <c r="S27" s="34"/>
    </row>
    <row r="28" spans="2:19" s="35" customFormat="1" ht="15" customHeight="1">
      <c r="B28" s="38"/>
      <c r="C28" s="48" t="s">
        <v>157</v>
      </c>
      <c r="D28" s="49"/>
      <c r="E28" s="49"/>
      <c r="F28" s="50"/>
      <c r="G28" s="51">
        <v>5</v>
      </c>
      <c r="H28" s="395">
        <f>Insumos!D66</f>
        <v>94.92</v>
      </c>
      <c r="I28" s="396"/>
      <c r="J28" s="395">
        <f>ROUND(G28*H28,2)</f>
        <v>474.6</v>
      </c>
      <c r="K28" s="396"/>
      <c r="N28" s="34"/>
      <c r="O28" s="34"/>
      <c r="P28" s="34"/>
      <c r="Q28" s="34"/>
      <c r="R28" s="34"/>
      <c r="S28" s="34"/>
    </row>
    <row r="29" spans="2:19" s="35" customFormat="1" ht="15" customHeight="1">
      <c r="B29" s="38"/>
      <c r="C29" s="422" t="s">
        <v>44</v>
      </c>
      <c r="D29" s="423"/>
      <c r="E29" s="423"/>
      <c r="F29" s="423"/>
      <c r="G29" s="423"/>
      <c r="H29" s="423"/>
      <c r="I29" s="424"/>
      <c r="J29" s="458">
        <f>SUM(J28:K28)</f>
        <v>474.6</v>
      </c>
      <c r="K29" s="460"/>
      <c r="N29" s="34"/>
      <c r="O29" s="34"/>
      <c r="P29" s="34"/>
      <c r="Q29" s="34"/>
      <c r="R29" s="34"/>
      <c r="S29" s="34"/>
    </row>
    <row r="30" spans="2:19" s="35" customFormat="1" ht="15" customHeight="1">
      <c r="B30" s="38"/>
      <c r="C30" s="438" t="s">
        <v>47</v>
      </c>
      <c r="D30" s="439"/>
      <c r="E30" s="439"/>
      <c r="F30" s="439"/>
      <c r="G30" s="439"/>
      <c r="H30" s="439"/>
      <c r="I30" s="440"/>
      <c r="J30" s="513">
        <f>ROUND(J29/12,2)</f>
        <v>39.55</v>
      </c>
      <c r="K30" s="515"/>
      <c r="N30" s="34"/>
      <c r="O30" s="34"/>
      <c r="P30" s="34"/>
      <c r="Q30" s="34"/>
      <c r="R30" s="34"/>
      <c r="S30" s="34"/>
    </row>
    <row r="31" spans="2:19" s="35" customFormat="1" ht="15" customHeight="1">
      <c r="B31" s="38"/>
      <c r="C31" s="63"/>
      <c r="D31" s="63"/>
      <c r="E31" s="63"/>
      <c r="F31" s="63"/>
      <c r="G31" s="63"/>
      <c r="H31" s="63"/>
      <c r="I31" s="63"/>
      <c r="J31" s="64"/>
      <c r="K31" s="64"/>
      <c r="N31" s="34"/>
      <c r="O31" s="34"/>
      <c r="P31" s="34"/>
      <c r="Q31" s="34"/>
      <c r="R31" s="34"/>
      <c r="S31" s="34"/>
    </row>
    <row r="32" spans="2:19" s="35" customFormat="1" ht="12" customHeight="1">
      <c r="B32" s="38"/>
      <c r="C32" s="111"/>
      <c r="D32" s="112"/>
      <c r="E32" s="111"/>
      <c r="F32" s="112"/>
      <c r="G32" s="111"/>
      <c r="H32" s="112"/>
      <c r="I32" s="215"/>
      <c r="J32" s="64"/>
      <c r="K32" s="34"/>
      <c r="N32" s="34"/>
      <c r="O32" s="34"/>
      <c r="P32" s="34"/>
      <c r="Q32" s="34"/>
      <c r="R32" s="34"/>
      <c r="S32" s="34"/>
    </row>
    <row r="33" spans="2:19" s="35" customFormat="1" ht="15" customHeight="1">
      <c r="B33" s="38"/>
      <c r="C33" s="216" t="s">
        <v>365</v>
      </c>
      <c r="D33" s="217"/>
      <c r="E33" s="218"/>
      <c r="F33" s="217"/>
      <c r="G33" s="218"/>
      <c r="H33" s="217"/>
      <c r="I33" s="219"/>
      <c r="K33" s="34"/>
      <c r="N33" s="34"/>
      <c r="O33" s="34"/>
      <c r="P33" s="34"/>
      <c r="Q33" s="34"/>
      <c r="R33" s="34"/>
      <c r="S33" s="34"/>
    </row>
    <row r="34" spans="2:19" s="35" customFormat="1" ht="12.75">
      <c r="B34" s="38"/>
      <c r="C34" s="105" t="s">
        <v>11</v>
      </c>
      <c r="D34" s="39"/>
      <c r="E34" s="87">
        <v>1</v>
      </c>
      <c r="F34" s="39" t="s">
        <v>9</v>
      </c>
      <c r="G34" s="220">
        <f>Insumos!D13</f>
        <v>9696</v>
      </c>
      <c r="H34" s="39" t="s">
        <v>10</v>
      </c>
      <c r="I34" s="89">
        <f aca="true" t="shared" si="1" ref="I34:I39">ROUND(E34*G34,2)</f>
        <v>9696</v>
      </c>
      <c r="K34" s="34"/>
      <c r="N34" s="34"/>
      <c r="O34" s="34"/>
      <c r="P34" s="34"/>
      <c r="Q34" s="34"/>
      <c r="R34" s="34"/>
      <c r="S34" s="34"/>
    </row>
    <row r="35" spans="2:19" s="35" customFormat="1" ht="12" customHeight="1" hidden="1">
      <c r="B35" s="38"/>
      <c r="C35" s="105" t="s">
        <v>2</v>
      </c>
      <c r="D35" s="39"/>
      <c r="E35" s="221">
        <v>0</v>
      </c>
      <c r="F35" s="39" t="s">
        <v>9</v>
      </c>
      <c r="G35" s="220">
        <f>Insumos!D19</f>
        <v>1212</v>
      </c>
      <c r="H35" s="39" t="s">
        <v>10</v>
      </c>
      <c r="I35" s="89">
        <f t="shared" si="1"/>
        <v>0</v>
      </c>
      <c r="K35" s="34"/>
      <c r="N35" s="34"/>
      <c r="O35" s="34"/>
      <c r="P35" s="34"/>
      <c r="Q35" s="34"/>
      <c r="R35" s="34"/>
      <c r="S35" s="34"/>
    </row>
    <row r="36" spans="2:19" s="35" customFormat="1" ht="12" customHeight="1" hidden="1">
      <c r="B36" s="38"/>
      <c r="C36" s="105" t="s">
        <v>36</v>
      </c>
      <c r="D36" s="39"/>
      <c r="E36" s="222">
        <v>0</v>
      </c>
      <c r="F36" s="39" t="s">
        <v>9</v>
      </c>
      <c r="G36" s="220">
        <f>ROUND(G34/220*1.5,2)</f>
        <v>66.11</v>
      </c>
      <c r="H36" s="39" t="s">
        <v>10</v>
      </c>
      <c r="I36" s="89">
        <f t="shared" si="1"/>
        <v>0</v>
      </c>
      <c r="K36" s="34"/>
      <c r="N36" s="34"/>
      <c r="O36" s="34"/>
      <c r="P36" s="34"/>
      <c r="Q36" s="34"/>
      <c r="R36" s="34"/>
      <c r="S36" s="34"/>
    </row>
    <row r="37" spans="2:19" s="35" customFormat="1" ht="9" customHeight="1" hidden="1">
      <c r="B37" s="38"/>
      <c r="C37" s="105" t="s">
        <v>37</v>
      </c>
      <c r="D37" s="39"/>
      <c r="E37" s="222">
        <v>0</v>
      </c>
      <c r="F37" s="39" t="s">
        <v>9</v>
      </c>
      <c r="G37" s="220">
        <f>ROUND((G34/220)*2,2)</f>
        <v>88.15</v>
      </c>
      <c r="H37" s="39" t="s">
        <v>10</v>
      </c>
      <c r="I37" s="89">
        <f t="shared" si="1"/>
        <v>0</v>
      </c>
      <c r="K37" s="34"/>
      <c r="N37" s="34"/>
      <c r="O37" s="34"/>
      <c r="P37" s="34"/>
      <c r="Q37" s="34"/>
      <c r="R37" s="34"/>
      <c r="S37" s="34"/>
    </row>
    <row r="38" spans="2:19" s="35" customFormat="1" ht="17.25" customHeight="1" hidden="1">
      <c r="B38" s="38"/>
      <c r="C38" s="105" t="s">
        <v>70</v>
      </c>
      <c r="D38" s="39"/>
      <c r="E38" s="222">
        <v>0</v>
      </c>
      <c r="F38" s="39" t="s">
        <v>9</v>
      </c>
      <c r="G38" s="220">
        <f>(G34/220)*0.2</f>
        <v>8.81</v>
      </c>
      <c r="H38" s="39" t="s">
        <v>10</v>
      </c>
      <c r="I38" s="89">
        <f t="shared" si="1"/>
        <v>0</v>
      </c>
      <c r="K38" s="34"/>
      <c r="N38" s="34"/>
      <c r="O38" s="34"/>
      <c r="P38" s="34"/>
      <c r="Q38" s="34"/>
      <c r="R38" s="34"/>
      <c r="S38" s="34"/>
    </row>
    <row r="39" spans="2:19" s="35" customFormat="1" ht="15" customHeight="1">
      <c r="B39" s="38"/>
      <c r="C39" s="71" t="s">
        <v>38</v>
      </c>
      <c r="D39" s="72"/>
      <c r="E39" s="223">
        <f>E56</f>
        <v>0.776</v>
      </c>
      <c r="F39" s="72" t="s">
        <v>9</v>
      </c>
      <c r="G39" s="224">
        <f>SUM(I34:I37)</f>
        <v>9696</v>
      </c>
      <c r="H39" s="72" t="s">
        <v>10</v>
      </c>
      <c r="I39" s="75">
        <f t="shared" si="1"/>
        <v>7524.1</v>
      </c>
      <c r="J39" s="39"/>
      <c r="K39" s="34"/>
      <c r="N39" s="34"/>
      <c r="O39" s="34"/>
      <c r="P39" s="34"/>
      <c r="Q39" s="34"/>
      <c r="R39" s="34"/>
      <c r="S39" s="34"/>
    </row>
    <row r="40" spans="2:19" s="35" customFormat="1" ht="15" customHeight="1">
      <c r="B40" s="38"/>
      <c r="C40" s="225" t="s">
        <v>40</v>
      </c>
      <c r="D40" s="39"/>
      <c r="E40" s="203"/>
      <c r="F40" s="39"/>
      <c r="G40" s="88"/>
      <c r="H40" s="39"/>
      <c r="I40" s="226">
        <f>SUM(I34:I39)</f>
        <v>17220.1</v>
      </c>
      <c r="J40" s="39"/>
      <c r="K40" s="34"/>
      <c r="N40" s="34"/>
      <c r="O40" s="34"/>
      <c r="P40" s="34"/>
      <c r="Q40" s="34"/>
      <c r="R40" s="34"/>
      <c r="S40" s="34"/>
    </row>
    <row r="41" spans="2:19" s="35" customFormat="1" ht="15" customHeight="1">
      <c r="B41" s="38"/>
      <c r="C41" s="71" t="s">
        <v>39</v>
      </c>
      <c r="D41" s="72"/>
      <c r="E41" s="73">
        <f>E58</f>
        <v>22</v>
      </c>
      <c r="F41" s="72" t="s">
        <v>9</v>
      </c>
      <c r="G41" s="79">
        <f aca="true" t="shared" si="2" ref="G41:G46">G58</f>
        <v>15.23</v>
      </c>
      <c r="H41" s="72" t="s">
        <v>10</v>
      </c>
      <c r="I41" s="75">
        <f aca="true" t="shared" si="3" ref="I41:I46">ROUND(E41*G41,2)</f>
        <v>335.06</v>
      </c>
      <c r="J41" s="39"/>
      <c r="K41" s="34"/>
      <c r="N41" s="34"/>
      <c r="O41" s="34"/>
      <c r="P41" s="34"/>
      <c r="Q41" s="34"/>
      <c r="R41" s="34"/>
      <c r="S41" s="34"/>
    </row>
    <row r="42" spans="2:19" s="35" customFormat="1" ht="15" customHeight="1">
      <c r="B42" s="38"/>
      <c r="C42" s="105" t="s">
        <v>95</v>
      </c>
      <c r="D42" s="39"/>
      <c r="E42" s="87">
        <v>0</v>
      </c>
      <c r="F42" s="39" t="s">
        <v>9</v>
      </c>
      <c r="G42" s="88">
        <f t="shared" si="2"/>
        <v>215.25</v>
      </c>
      <c r="H42" s="39" t="s">
        <v>10</v>
      </c>
      <c r="I42" s="89">
        <f t="shared" si="3"/>
        <v>0</v>
      </c>
      <c r="J42" s="39"/>
      <c r="K42" s="34"/>
      <c r="N42" s="34"/>
      <c r="O42" s="34"/>
      <c r="P42" s="34"/>
      <c r="Q42" s="34"/>
      <c r="R42" s="34"/>
      <c r="S42" s="34"/>
    </row>
    <row r="43" spans="2:19" s="35" customFormat="1" ht="15" customHeight="1">
      <c r="B43" s="38"/>
      <c r="C43" s="71" t="s">
        <v>60</v>
      </c>
      <c r="D43" s="72"/>
      <c r="E43" s="73">
        <v>1</v>
      </c>
      <c r="F43" s="72" t="s">
        <v>9</v>
      </c>
      <c r="G43" s="79">
        <f t="shared" si="2"/>
        <v>17.94</v>
      </c>
      <c r="H43" s="72" t="s">
        <v>10</v>
      </c>
      <c r="I43" s="75">
        <f t="shared" si="3"/>
        <v>17.94</v>
      </c>
      <c r="J43" s="83"/>
      <c r="K43" s="34"/>
      <c r="N43" s="34"/>
      <c r="O43" s="34"/>
      <c r="P43" s="34"/>
      <c r="Q43" s="34"/>
      <c r="R43" s="34"/>
      <c r="S43" s="34"/>
    </row>
    <row r="44" spans="2:19" s="35" customFormat="1" ht="15" customHeight="1">
      <c r="B44" s="38"/>
      <c r="C44" s="97" t="str">
        <f>C61</f>
        <v>Gratificação de Férias (1/12)</v>
      </c>
      <c r="D44" s="72"/>
      <c r="E44" s="73">
        <f>E34</f>
        <v>1</v>
      </c>
      <c r="F44" s="72" t="s">
        <v>9</v>
      </c>
      <c r="G44" s="79">
        <f t="shared" si="2"/>
        <v>17.94</v>
      </c>
      <c r="H44" s="72" t="s">
        <v>10</v>
      </c>
      <c r="I44" s="75">
        <f t="shared" si="3"/>
        <v>17.94</v>
      </c>
      <c r="J44" s="39"/>
      <c r="K44" s="34"/>
      <c r="N44" s="34"/>
      <c r="O44" s="34"/>
      <c r="P44" s="34"/>
      <c r="Q44" s="34"/>
      <c r="R44" s="34"/>
      <c r="S44" s="34"/>
    </row>
    <row r="45" spans="2:19" s="35" customFormat="1" ht="15" customHeight="1">
      <c r="B45" s="38"/>
      <c r="C45" s="105" t="str">
        <f>C62</f>
        <v>Ass. Médica (Ambulatorial)</v>
      </c>
      <c r="D45" s="39"/>
      <c r="E45" s="87">
        <v>1</v>
      </c>
      <c r="F45" s="39" t="s">
        <v>9</v>
      </c>
      <c r="G45" s="79">
        <f t="shared" si="2"/>
        <v>60</v>
      </c>
      <c r="H45" s="39" t="s">
        <v>10</v>
      </c>
      <c r="I45" s="89">
        <f t="shared" si="3"/>
        <v>60</v>
      </c>
      <c r="J45" s="39"/>
      <c r="K45" s="34"/>
      <c r="N45" s="34"/>
      <c r="O45" s="34"/>
      <c r="P45" s="34"/>
      <c r="Q45" s="34"/>
      <c r="R45" s="34"/>
      <c r="S45" s="34"/>
    </row>
    <row r="46" spans="2:19" s="35" customFormat="1" ht="15" customHeight="1">
      <c r="B46" s="38"/>
      <c r="C46" s="71" t="s">
        <v>54</v>
      </c>
      <c r="D46" s="72"/>
      <c r="E46" s="73">
        <v>1</v>
      </c>
      <c r="F46" s="72" t="s">
        <v>9</v>
      </c>
      <c r="G46" s="79">
        <f t="shared" si="2"/>
        <v>14</v>
      </c>
      <c r="H46" s="72" t="s">
        <v>10</v>
      </c>
      <c r="I46" s="75">
        <f t="shared" si="3"/>
        <v>14</v>
      </c>
      <c r="J46" s="39"/>
      <c r="K46" s="34"/>
      <c r="N46" s="34"/>
      <c r="O46" s="34"/>
      <c r="P46" s="34"/>
      <c r="Q46" s="34"/>
      <c r="R46" s="34"/>
      <c r="S46" s="34"/>
    </row>
    <row r="47" spans="2:19" s="35" customFormat="1" ht="15" customHeight="1">
      <c r="B47" s="38"/>
      <c r="C47" s="227" t="s">
        <v>13</v>
      </c>
      <c r="D47" s="124"/>
      <c r="E47" s="228">
        <v>1</v>
      </c>
      <c r="F47" s="124" t="s">
        <v>9</v>
      </c>
      <c r="G47" s="229">
        <f>G65</f>
        <v>39.55</v>
      </c>
      <c r="H47" s="124" t="s">
        <v>10</v>
      </c>
      <c r="I47" s="230">
        <f>ROUND(E47*G47,2)</f>
        <v>39.55</v>
      </c>
      <c r="J47" s="39"/>
      <c r="K47" s="34"/>
      <c r="N47" s="34"/>
      <c r="O47" s="34"/>
      <c r="P47" s="34"/>
      <c r="Q47" s="34"/>
      <c r="R47" s="34"/>
      <c r="S47" s="34"/>
    </row>
    <row r="48" spans="2:19" s="35" customFormat="1" ht="15" customHeight="1">
      <c r="B48" s="38"/>
      <c r="C48" s="80" t="s">
        <v>41</v>
      </c>
      <c r="D48" s="93"/>
      <c r="E48" s="94"/>
      <c r="F48" s="93"/>
      <c r="G48" s="94"/>
      <c r="H48" s="93"/>
      <c r="I48" s="231">
        <f>SUM(I40:I47)</f>
        <v>17704.59</v>
      </c>
      <c r="J48" s="64"/>
      <c r="K48" s="34"/>
      <c r="N48" s="34"/>
      <c r="O48" s="34"/>
      <c r="P48" s="34"/>
      <c r="Q48" s="34"/>
      <c r="R48" s="34"/>
      <c r="S48" s="34"/>
    </row>
    <row r="49" spans="2:19" s="35" customFormat="1" ht="15" customHeight="1">
      <c r="B49" s="38"/>
      <c r="C49" s="99"/>
      <c r="D49" s="64"/>
      <c r="E49" s="99"/>
      <c r="F49" s="64"/>
      <c r="G49" s="99"/>
      <c r="H49" s="64"/>
      <c r="I49" s="232"/>
      <c r="J49" s="64"/>
      <c r="K49" s="34"/>
      <c r="N49" s="34"/>
      <c r="O49" s="34"/>
      <c r="P49" s="34"/>
      <c r="Q49" s="34"/>
      <c r="R49" s="34"/>
      <c r="S49" s="34"/>
    </row>
    <row r="50" spans="2:19" s="35" customFormat="1" ht="15" customHeight="1">
      <c r="B50" s="38"/>
      <c r="C50" s="216" t="s">
        <v>71</v>
      </c>
      <c r="D50" s="217"/>
      <c r="E50" s="218"/>
      <c r="F50" s="217"/>
      <c r="G50" s="218"/>
      <c r="H50" s="217"/>
      <c r="I50" s="219"/>
      <c r="K50" s="34"/>
      <c r="N50" s="34"/>
      <c r="O50" s="34"/>
      <c r="P50" s="34"/>
      <c r="Q50" s="34"/>
      <c r="R50" s="34"/>
      <c r="S50" s="34"/>
    </row>
    <row r="51" spans="2:19" s="35" customFormat="1" ht="15" customHeight="1">
      <c r="B51" s="38"/>
      <c r="C51" s="227" t="s">
        <v>11</v>
      </c>
      <c r="D51" s="124"/>
      <c r="E51" s="233">
        <v>1</v>
      </c>
      <c r="F51" s="124" t="s">
        <v>9</v>
      </c>
      <c r="G51" s="234">
        <v>2500</v>
      </c>
      <c r="H51" s="124" t="s">
        <v>10</v>
      </c>
      <c r="I51" s="230">
        <f aca="true" t="shared" si="4" ref="I51:I56">ROUND(E51*G51,2)</f>
        <v>2500</v>
      </c>
      <c r="K51" s="34"/>
      <c r="N51" s="34"/>
      <c r="O51" s="34"/>
      <c r="P51" s="34"/>
      <c r="Q51" s="34"/>
      <c r="R51" s="34"/>
      <c r="S51" s="34"/>
    </row>
    <row r="52" spans="2:19" s="35" customFormat="1" ht="15" customHeight="1" hidden="1">
      <c r="B52" s="38"/>
      <c r="C52" s="235" t="s">
        <v>2</v>
      </c>
      <c r="D52" s="175"/>
      <c r="E52" s="236">
        <v>0</v>
      </c>
      <c r="F52" s="175" t="s">
        <v>9</v>
      </c>
      <c r="G52" s="237">
        <f>Insumos!D19</f>
        <v>1212</v>
      </c>
      <c r="H52" s="175" t="s">
        <v>10</v>
      </c>
      <c r="I52" s="238">
        <f t="shared" si="4"/>
        <v>0</v>
      </c>
      <c r="K52" s="34"/>
      <c r="N52" s="34"/>
      <c r="O52" s="34"/>
      <c r="P52" s="34"/>
      <c r="Q52" s="34"/>
      <c r="R52" s="34"/>
      <c r="S52" s="34"/>
    </row>
    <row r="53" spans="2:19" s="35" customFormat="1" ht="15" customHeight="1" hidden="1">
      <c r="B53" s="38"/>
      <c r="C53" s="235" t="s">
        <v>36</v>
      </c>
      <c r="D53" s="175"/>
      <c r="E53" s="239">
        <v>0</v>
      </c>
      <c r="F53" s="175" t="s">
        <v>9</v>
      </c>
      <c r="G53" s="237">
        <f>ROUND(G51/220*1.5,2)</f>
        <v>17.05</v>
      </c>
      <c r="H53" s="175" t="s">
        <v>10</v>
      </c>
      <c r="I53" s="238">
        <f t="shared" si="4"/>
        <v>0</v>
      </c>
      <c r="K53" s="34"/>
      <c r="N53" s="34"/>
      <c r="O53" s="34"/>
      <c r="P53" s="34"/>
      <c r="Q53" s="34"/>
      <c r="R53" s="34"/>
      <c r="S53" s="34"/>
    </row>
    <row r="54" spans="2:19" s="35" customFormat="1" ht="15" customHeight="1" hidden="1">
      <c r="B54" s="38"/>
      <c r="C54" s="227" t="s">
        <v>89</v>
      </c>
      <c r="D54" s="124"/>
      <c r="E54" s="240">
        <v>0</v>
      </c>
      <c r="F54" s="124" t="s">
        <v>9</v>
      </c>
      <c r="G54" s="234">
        <f>ROUND((G51/220)*2,2)</f>
        <v>22.73</v>
      </c>
      <c r="H54" s="124" t="s">
        <v>10</v>
      </c>
      <c r="I54" s="230">
        <f t="shared" si="4"/>
        <v>0</v>
      </c>
      <c r="K54" s="34"/>
      <c r="N54" s="34"/>
      <c r="O54" s="34"/>
      <c r="P54" s="34"/>
      <c r="Q54" s="34"/>
      <c r="R54" s="34"/>
      <c r="S54" s="34"/>
    </row>
    <row r="55" spans="2:19" s="35" customFormat="1" ht="15" customHeight="1" hidden="1">
      <c r="B55" s="38"/>
      <c r="C55" s="235" t="s">
        <v>70</v>
      </c>
      <c r="D55" s="175"/>
      <c r="E55" s="239">
        <v>0</v>
      </c>
      <c r="F55" s="175" t="s">
        <v>9</v>
      </c>
      <c r="G55" s="237">
        <f>(G51/220)*0.2</f>
        <v>2.27</v>
      </c>
      <c r="H55" s="175" t="s">
        <v>10</v>
      </c>
      <c r="I55" s="238">
        <f t="shared" si="4"/>
        <v>0</v>
      </c>
      <c r="K55" s="34"/>
      <c r="N55" s="34"/>
      <c r="O55" s="34"/>
      <c r="P55" s="34"/>
      <c r="Q55" s="34"/>
      <c r="R55" s="34"/>
      <c r="S55" s="34"/>
    </row>
    <row r="56" spans="2:19" s="35" customFormat="1" ht="15" customHeight="1">
      <c r="B56" s="38"/>
      <c r="C56" s="235" t="s">
        <v>38</v>
      </c>
      <c r="D56" s="175"/>
      <c r="E56" s="241">
        <f>'COMPOSIÇÃO DOS ENCARGOS '!C43</f>
        <v>0.776</v>
      </c>
      <c r="F56" s="175" t="s">
        <v>9</v>
      </c>
      <c r="G56" s="242">
        <f>SUM(I51:I54)</f>
        <v>2500</v>
      </c>
      <c r="H56" s="175" t="s">
        <v>10</v>
      </c>
      <c r="I56" s="238">
        <f t="shared" si="4"/>
        <v>1940</v>
      </c>
      <c r="J56" s="39"/>
      <c r="K56" s="34"/>
      <c r="N56" s="34"/>
      <c r="O56" s="34"/>
      <c r="P56" s="34"/>
      <c r="Q56" s="34"/>
      <c r="R56" s="34"/>
      <c r="S56" s="34"/>
    </row>
    <row r="57" spans="2:19" s="35" customFormat="1" ht="15" customHeight="1">
      <c r="B57" s="38"/>
      <c r="C57" s="101" t="s">
        <v>40</v>
      </c>
      <c r="D57" s="124"/>
      <c r="E57" s="243"/>
      <c r="F57" s="124"/>
      <c r="G57" s="229"/>
      <c r="H57" s="124"/>
      <c r="I57" s="244">
        <f>SUM(I51:I56)</f>
        <v>4440</v>
      </c>
      <c r="J57" s="39"/>
      <c r="K57" s="34"/>
      <c r="N57" s="34"/>
      <c r="O57" s="34"/>
      <c r="P57" s="34"/>
      <c r="Q57" s="34"/>
      <c r="R57" s="34"/>
      <c r="S57" s="34"/>
    </row>
    <row r="58" spans="2:19" s="35" customFormat="1" ht="15" customHeight="1">
      <c r="B58" s="38"/>
      <c r="C58" s="71" t="s">
        <v>39</v>
      </c>
      <c r="D58" s="175"/>
      <c r="E58" s="245">
        <v>22</v>
      </c>
      <c r="F58" s="175" t="s">
        <v>9</v>
      </c>
      <c r="G58" s="246">
        <f>Insumos!D96</f>
        <v>15.23</v>
      </c>
      <c r="H58" s="175" t="s">
        <v>10</v>
      </c>
      <c r="I58" s="238">
        <f aca="true" t="shared" si="5" ref="I58:I63">ROUND(E58*G58,2)</f>
        <v>335.06</v>
      </c>
      <c r="J58" s="39"/>
      <c r="K58" s="34"/>
      <c r="N58" s="34"/>
      <c r="O58" s="34"/>
      <c r="P58" s="34"/>
      <c r="Q58" s="34"/>
      <c r="R58" s="34"/>
      <c r="S58" s="34"/>
    </row>
    <row r="59" spans="2:19" s="35" customFormat="1" ht="15" customHeight="1">
      <c r="B59" s="38"/>
      <c r="C59" s="71" t="s">
        <v>95</v>
      </c>
      <c r="D59" s="124"/>
      <c r="E59" s="233">
        <f>E51</f>
        <v>1</v>
      </c>
      <c r="F59" s="124" t="s">
        <v>9</v>
      </c>
      <c r="G59" s="229">
        <f>Insumos!D92</f>
        <v>215.25</v>
      </c>
      <c r="H59" s="124" t="s">
        <v>10</v>
      </c>
      <c r="I59" s="230">
        <f t="shared" si="5"/>
        <v>215.25</v>
      </c>
      <c r="J59" s="39"/>
      <c r="K59" s="34"/>
      <c r="N59" s="34"/>
      <c r="O59" s="34"/>
      <c r="P59" s="34"/>
      <c r="Q59" s="34"/>
      <c r="R59" s="34"/>
      <c r="S59" s="34"/>
    </row>
    <row r="60" spans="2:19" s="35" customFormat="1" ht="15" customHeight="1">
      <c r="B60" s="38"/>
      <c r="C60" s="71" t="s">
        <v>133</v>
      </c>
      <c r="D60" s="175"/>
      <c r="E60" s="245">
        <v>1</v>
      </c>
      <c r="F60" s="175" t="s">
        <v>9</v>
      </c>
      <c r="G60" s="246">
        <f>G59/12</f>
        <v>17.94</v>
      </c>
      <c r="H60" s="175" t="s">
        <v>10</v>
      </c>
      <c r="I60" s="238">
        <f t="shared" si="5"/>
        <v>17.94</v>
      </c>
      <c r="J60" s="83"/>
      <c r="K60" s="34"/>
      <c r="N60" s="34"/>
      <c r="O60" s="34"/>
      <c r="P60" s="34"/>
      <c r="Q60" s="34"/>
      <c r="R60" s="34"/>
      <c r="S60" s="34"/>
    </row>
    <row r="61" spans="2:19" s="35" customFormat="1" ht="15" customHeight="1">
      <c r="B61" s="38"/>
      <c r="C61" s="84" t="s">
        <v>177</v>
      </c>
      <c r="D61" s="124"/>
      <c r="E61" s="233">
        <f>E51</f>
        <v>1</v>
      </c>
      <c r="F61" s="124" t="s">
        <v>9</v>
      </c>
      <c r="G61" s="229">
        <f>G60</f>
        <v>17.94</v>
      </c>
      <c r="H61" s="124" t="s">
        <v>10</v>
      </c>
      <c r="I61" s="230">
        <f t="shared" si="5"/>
        <v>17.94</v>
      </c>
      <c r="J61" s="39"/>
      <c r="K61" s="34"/>
      <c r="N61" s="34"/>
      <c r="O61" s="34"/>
      <c r="P61" s="34"/>
      <c r="Q61" s="34"/>
      <c r="R61" s="34"/>
      <c r="S61" s="34"/>
    </row>
    <row r="62" spans="2:19" s="35" customFormat="1" ht="15" customHeight="1">
      <c r="B62" s="38"/>
      <c r="C62" s="86" t="s">
        <v>171</v>
      </c>
      <c r="D62" s="175"/>
      <c r="E62" s="245">
        <v>1</v>
      </c>
      <c r="F62" s="175" t="s">
        <v>9</v>
      </c>
      <c r="G62" s="246">
        <f>Insumos!D97</f>
        <v>60</v>
      </c>
      <c r="H62" s="175" t="s">
        <v>10</v>
      </c>
      <c r="I62" s="238">
        <f t="shared" si="5"/>
        <v>60</v>
      </c>
      <c r="J62" s="39"/>
      <c r="K62" s="34"/>
      <c r="N62" s="34"/>
      <c r="O62" s="34"/>
      <c r="P62" s="34"/>
      <c r="Q62" s="34"/>
      <c r="R62" s="34"/>
      <c r="S62" s="34"/>
    </row>
    <row r="63" spans="2:19" s="35" customFormat="1" ht="15" customHeight="1">
      <c r="B63" s="38"/>
      <c r="C63" s="71" t="s">
        <v>54</v>
      </c>
      <c r="D63" s="124"/>
      <c r="E63" s="233">
        <v>1</v>
      </c>
      <c r="F63" s="124" t="s">
        <v>9</v>
      </c>
      <c r="G63" s="229">
        <f>Insumos!D98</f>
        <v>14</v>
      </c>
      <c r="H63" s="124" t="s">
        <v>10</v>
      </c>
      <c r="I63" s="230">
        <f t="shared" si="5"/>
        <v>14</v>
      </c>
      <c r="J63" s="39"/>
      <c r="K63" s="34"/>
      <c r="N63" s="34"/>
      <c r="O63" s="34"/>
      <c r="P63" s="34"/>
      <c r="Q63" s="34"/>
      <c r="R63" s="34"/>
      <c r="S63" s="34"/>
    </row>
    <row r="64" spans="2:19" s="35" customFormat="1" ht="15" customHeight="1">
      <c r="B64" s="38"/>
      <c r="C64" s="84" t="s">
        <v>441</v>
      </c>
      <c r="D64" s="175"/>
      <c r="E64" s="245">
        <f>2*E58</f>
        <v>44</v>
      </c>
      <c r="F64" s="175" t="s">
        <v>9</v>
      </c>
      <c r="G64" s="246">
        <f>Insumos!D95</f>
        <v>3.8</v>
      </c>
      <c r="H64" s="175" t="s">
        <v>10</v>
      </c>
      <c r="I64" s="238">
        <f>IF(G51*6%&lt;E64*G64,ROUND(E64*G64,2)-6%*G51,0)</f>
        <v>17.2</v>
      </c>
      <c r="J64" s="91"/>
      <c r="K64" s="34"/>
      <c r="N64" s="34"/>
      <c r="O64" s="34"/>
      <c r="P64" s="34"/>
      <c r="Q64" s="34"/>
      <c r="R64" s="34"/>
      <c r="S64" s="34"/>
    </row>
    <row r="65" spans="2:19" s="35" customFormat="1" ht="15" customHeight="1">
      <c r="B65" s="38"/>
      <c r="C65" s="71" t="s">
        <v>13</v>
      </c>
      <c r="D65" s="124"/>
      <c r="E65" s="228">
        <f>E51</f>
        <v>1</v>
      </c>
      <c r="F65" s="124" t="s">
        <v>9</v>
      </c>
      <c r="G65" s="229">
        <f>J30</f>
        <v>39.55</v>
      </c>
      <c r="H65" s="124" t="s">
        <v>10</v>
      </c>
      <c r="I65" s="230">
        <f>ROUND(E65*G65,2)</f>
        <v>39.55</v>
      </c>
      <c r="J65" s="39"/>
      <c r="K65" s="34"/>
      <c r="N65" s="34"/>
      <c r="O65" s="34"/>
      <c r="P65" s="34"/>
      <c r="Q65" s="34"/>
      <c r="R65" s="34"/>
      <c r="S65" s="34"/>
    </row>
    <row r="66" spans="2:19" s="35" customFormat="1" ht="15" customHeight="1">
      <c r="B66" s="38"/>
      <c r="C66" s="101" t="s">
        <v>41</v>
      </c>
      <c r="D66" s="102"/>
      <c r="E66" s="110"/>
      <c r="F66" s="102"/>
      <c r="G66" s="110"/>
      <c r="H66" s="102"/>
      <c r="I66" s="231">
        <f>SUM(I57:I65)</f>
        <v>5156.94</v>
      </c>
      <c r="J66" s="64"/>
      <c r="K66" s="34"/>
      <c r="N66" s="34"/>
      <c r="O66" s="34"/>
      <c r="P66" s="34"/>
      <c r="Q66" s="34"/>
      <c r="R66" s="34"/>
      <c r="S66" s="34"/>
    </row>
    <row r="67" spans="2:19" s="35" customFormat="1" ht="15" customHeight="1">
      <c r="B67" s="38"/>
      <c r="C67" s="99"/>
      <c r="D67" s="64"/>
      <c r="E67" s="99"/>
      <c r="F67" s="64"/>
      <c r="G67" s="99"/>
      <c r="H67" s="64"/>
      <c r="I67" s="137"/>
      <c r="J67" s="64"/>
      <c r="K67" s="34"/>
      <c r="N67" s="34"/>
      <c r="O67" s="34"/>
      <c r="P67" s="34"/>
      <c r="Q67" s="34"/>
      <c r="R67" s="34"/>
      <c r="S67" s="34"/>
    </row>
    <row r="68" spans="2:19" s="35" customFormat="1" ht="15" customHeight="1">
      <c r="B68" s="38"/>
      <c r="C68" s="539" t="s">
        <v>72</v>
      </c>
      <c r="D68" s="540"/>
      <c r="E68" s="540"/>
      <c r="F68" s="540"/>
      <c r="G68" s="540"/>
      <c r="H68" s="540"/>
      <c r="I68" s="541"/>
      <c r="K68" s="34"/>
      <c r="N68" s="34"/>
      <c r="O68" s="34"/>
      <c r="P68" s="34"/>
      <c r="Q68" s="34"/>
      <c r="R68" s="34"/>
      <c r="S68" s="34"/>
    </row>
    <row r="69" spans="2:19" s="35" customFormat="1" ht="15" customHeight="1">
      <c r="B69" s="38"/>
      <c r="C69" s="105" t="s">
        <v>11</v>
      </c>
      <c r="D69" s="39"/>
      <c r="E69" s="87">
        <v>1</v>
      </c>
      <c r="F69" s="39" t="s">
        <v>9</v>
      </c>
      <c r="G69" s="220">
        <f>Insumos!D15</f>
        <v>1500.05</v>
      </c>
      <c r="H69" s="39" t="s">
        <v>10</v>
      </c>
      <c r="I69" s="89">
        <f aca="true" t="shared" si="6" ref="I69:I74">ROUND(E69*G69,2)</f>
        <v>1500.05</v>
      </c>
      <c r="K69" s="34"/>
      <c r="N69" s="34"/>
      <c r="O69" s="34"/>
      <c r="P69" s="34"/>
      <c r="Q69" s="34"/>
      <c r="R69" s="34"/>
      <c r="S69" s="34"/>
    </row>
    <row r="70" spans="2:19" s="35" customFormat="1" ht="15" customHeight="1" hidden="1">
      <c r="B70" s="38"/>
      <c r="C70" s="105" t="s">
        <v>2</v>
      </c>
      <c r="D70" s="39"/>
      <c r="E70" s="221">
        <v>0</v>
      </c>
      <c r="F70" s="39" t="s">
        <v>9</v>
      </c>
      <c r="G70" s="220">
        <f>G35</f>
        <v>1212</v>
      </c>
      <c r="H70" s="39" t="s">
        <v>10</v>
      </c>
      <c r="I70" s="89">
        <f t="shared" si="6"/>
        <v>0</v>
      </c>
      <c r="K70" s="34"/>
      <c r="N70" s="34"/>
      <c r="O70" s="34"/>
      <c r="P70" s="34"/>
      <c r="Q70" s="34"/>
      <c r="R70" s="34"/>
      <c r="S70" s="34"/>
    </row>
    <row r="71" spans="2:19" s="35" customFormat="1" ht="15" customHeight="1" hidden="1">
      <c r="B71" s="38"/>
      <c r="C71" s="105" t="s">
        <v>36</v>
      </c>
      <c r="D71" s="39"/>
      <c r="E71" s="222">
        <v>0</v>
      </c>
      <c r="F71" s="39" t="s">
        <v>9</v>
      </c>
      <c r="G71" s="220">
        <f>ROUND(G69/220*1.5,2)</f>
        <v>10.23</v>
      </c>
      <c r="H71" s="39" t="s">
        <v>10</v>
      </c>
      <c r="I71" s="89">
        <f t="shared" si="6"/>
        <v>0</v>
      </c>
      <c r="K71" s="34"/>
      <c r="N71" s="34"/>
      <c r="O71" s="34"/>
      <c r="P71" s="34"/>
      <c r="Q71" s="34"/>
      <c r="R71" s="34"/>
      <c r="S71" s="34"/>
    </row>
    <row r="72" spans="2:19" s="35" customFormat="1" ht="15" customHeight="1" hidden="1">
      <c r="B72" s="38"/>
      <c r="C72" s="105" t="s">
        <v>37</v>
      </c>
      <c r="D72" s="39"/>
      <c r="E72" s="222">
        <v>0</v>
      </c>
      <c r="F72" s="39" t="s">
        <v>9</v>
      </c>
      <c r="G72" s="220">
        <f>ROUND((G69/220)*2,2)</f>
        <v>13.64</v>
      </c>
      <c r="H72" s="39" t="s">
        <v>10</v>
      </c>
      <c r="I72" s="89">
        <f t="shared" si="6"/>
        <v>0</v>
      </c>
      <c r="K72" s="34"/>
      <c r="N72" s="34"/>
      <c r="O72" s="34"/>
      <c r="P72" s="34"/>
      <c r="Q72" s="34"/>
      <c r="R72" s="34"/>
      <c r="S72" s="34"/>
    </row>
    <row r="73" spans="2:19" s="35" customFormat="1" ht="15" customHeight="1" hidden="1">
      <c r="B73" s="38"/>
      <c r="C73" s="105" t="s">
        <v>70</v>
      </c>
      <c r="D73" s="39"/>
      <c r="E73" s="222">
        <v>0</v>
      </c>
      <c r="F73" s="39" t="s">
        <v>9</v>
      </c>
      <c r="G73" s="220">
        <f>(G69/220)*0.2</f>
        <v>1.36</v>
      </c>
      <c r="H73" s="39" t="s">
        <v>10</v>
      </c>
      <c r="I73" s="89">
        <f t="shared" si="6"/>
        <v>0</v>
      </c>
      <c r="K73" s="34"/>
      <c r="N73" s="34"/>
      <c r="O73" s="34"/>
      <c r="P73" s="34"/>
      <c r="Q73" s="34"/>
      <c r="R73" s="34"/>
      <c r="S73" s="34"/>
    </row>
    <row r="74" spans="1:10" ht="15" customHeight="1">
      <c r="A74" s="35"/>
      <c r="C74" s="71" t="s">
        <v>38</v>
      </c>
      <c r="D74" s="72"/>
      <c r="E74" s="223">
        <f>E39</f>
        <v>0.776</v>
      </c>
      <c r="F74" s="72" t="s">
        <v>9</v>
      </c>
      <c r="G74" s="79">
        <f>SUM(I69:I72)</f>
        <v>1500.05</v>
      </c>
      <c r="H74" s="72" t="s">
        <v>10</v>
      </c>
      <c r="I74" s="75">
        <f t="shared" si="6"/>
        <v>1164.04</v>
      </c>
      <c r="J74" s="39"/>
    </row>
    <row r="75" spans="1:10" ht="15" customHeight="1">
      <c r="A75" s="35"/>
      <c r="C75" s="225" t="s">
        <v>40</v>
      </c>
      <c r="D75" s="39"/>
      <c r="E75" s="203"/>
      <c r="F75" s="39"/>
      <c r="G75" s="88"/>
      <c r="H75" s="39"/>
      <c r="I75" s="226">
        <f>SUM(I69:I74)</f>
        <v>2664.09</v>
      </c>
      <c r="J75" s="39"/>
    </row>
    <row r="76" spans="1:10" ht="15" customHeight="1">
      <c r="A76" s="35"/>
      <c r="C76" s="71" t="s">
        <v>39</v>
      </c>
      <c r="D76" s="72"/>
      <c r="E76" s="73">
        <f>E58</f>
        <v>22</v>
      </c>
      <c r="F76" s="72" t="s">
        <v>9</v>
      </c>
      <c r="G76" s="79">
        <f aca="true" t="shared" si="7" ref="G76:G81">G41</f>
        <v>15.23</v>
      </c>
      <c r="H76" s="72" t="s">
        <v>10</v>
      </c>
      <c r="I76" s="75">
        <f aca="true" t="shared" si="8" ref="I76:I81">ROUND(E76*G76,2)</f>
        <v>335.06</v>
      </c>
      <c r="J76" s="39"/>
    </row>
    <row r="77" spans="1:10" ht="15" customHeight="1">
      <c r="A77" s="35"/>
      <c r="C77" s="105" t="s">
        <v>95</v>
      </c>
      <c r="D77" s="39"/>
      <c r="E77" s="87">
        <v>1</v>
      </c>
      <c r="F77" s="39" t="s">
        <v>9</v>
      </c>
      <c r="G77" s="88">
        <f t="shared" si="7"/>
        <v>215.25</v>
      </c>
      <c r="H77" s="39" t="s">
        <v>10</v>
      </c>
      <c r="I77" s="89">
        <f t="shared" si="8"/>
        <v>215.25</v>
      </c>
      <c r="J77" s="39"/>
    </row>
    <row r="78" spans="1:10" ht="15" customHeight="1">
      <c r="A78" s="35"/>
      <c r="C78" s="71" t="s">
        <v>134</v>
      </c>
      <c r="D78" s="72"/>
      <c r="E78" s="73">
        <v>1</v>
      </c>
      <c r="F78" s="72" t="s">
        <v>9</v>
      </c>
      <c r="G78" s="79">
        <f t="shared" si="7"/>
        <v>17.94</v>
      </c>
      <c r="H78" s="72" t="s">
        <v>10</v>
      </c>
      <c r="I78" s="75">
        <f t="shared" si="8"/>
        <v>17.94</v>
      </c>
      <c r="J78" s="83"/>
    </row>
    <row r="79" spans="1:10" ht="15" customHeight="1">
      <c r="A79" s="35"/>
      <c r="C79" s="105" t="str">
        <f>C44</f>
        <v>Gratificação de Férias (1/12)</v>
      </c>
      <c r="D79" s="39"/>
      <c r="E79" s="87">
        <v>1</v>
      </c>
      <c r="F79" s="39" t="s">
        <v>9</v>
      </c>
      <c r="G79" s="88">
        <f t="shared" si="7"/>
        <v>17.94</v>
      </c>
      <c r="H79" s="39" t="s">
        <v>10</v>
      </c>
      <c r="I79" s="89">
        <f t="shared" si="8"/>
        <v>17.94</v>
      </c>
      <c r="J79" s="39"/>
    </row>
    <row r="80" spans="1:10" ht="15" customHeight="1">
      <c r="A80" s="35"/>
      <c r="C80" s="71" t="str">
        <f>C45</f>
        <v>Ass. Médica (Ambulatorial)</v>
      </c>
      <c r="D80" s="72"/>
      <c r="E80" s="73">
        <v>1</v>
      </c>
      <c r="F80" s="72" t="s">
        <v>9</v>
      </c>
      <c r="G80" s="79">
        <f t="shared" si="7"/>
        <v>60</v>
      </c>
      <c r="H80" s="72" t="s">
        <v>10</v>
      </c>
      <c r="I80" s="75">
        <f t="shared" si="8"/>
        <v>60</v>
      </c>
      <c r="J80" s="39"/>
    </row>
    <row r="81" spans="1:10" ht="15" customHeight="1">
      <c r="A81" s="35"/>
      <c r="C81" s="105" t="s">
        <v>54</v>
      </c>
      <c r="D81" s="39"/>
      <c r="E81" s="87">
        <v>1</v>
      </c>
      <c r="F81" s="39" t="s">
        <v>9</v>
      </c>
      <c r="G81" s="88">
        <f t="shared" si="7"/>
        <v>14</v>
      </c>
      <c r="H81" s="39" t="s">
        <v>10</v>
      </c>
      <c r="I81" s="89">
        <f t="shared" si="8"/>
        <v>14</v>
      </c>
      <c r="J81" s="39"/>
    </row>
    <row r="82" spans="3:10" ht="15" customHeight="1">
      <c r="C82" s="71" t="s">
        <v>452</v>
      </c>
      <c r="D82" s="72"/>
      <c r="E82" s="73">
        <f>2*E76</f>
        <v>44</v>
      </c>
      <c r="F82" s="72" t="s">
        <v>9</v>
      </c>
      <c r="G82" s="79">
        <f>Insumos!D95</f>
        <v>3.8</v>
      </c>
      <c r="H82" s="72" t="s">
        <v>10</v>
      </c>
      <c r="I82" s="75">
        <f>IF(G69*6%&lt;E82*G82,ROUND(E82*G82,2)-6%*G69,0)</f>
        <v>77.2</v>
      </c>
      <c r="J82" s="91"/>
    </row>
    <row r="83" spans="3:10" ht="15" customHeight="1">
      <c r="C83" s="105" t="s">
        <v>13</v>
      </c>
      <c r="D83" s="39"/>
      <c r="E83" s="247">
        <f>E69</f>
        <v>1</v>
      </c>
      <c r="F83" s="39" t="s">
        <v>9</v>
      </c>
      <c r="G83" s="88">
        <f>G47</f>
        <v>39.55</v>
      </c>
      <c r="H83" s="39" t="s">
        <v>10</v>
      </c>
      <c r="I83" s="89">
        <f>ROUND(E83*G83,2)</f>
        <v>39.55</v>
      </c>
      <c r="J83" s="39"/>
    </row>
    <row r="84" spans="3:10" ht="15" customHeight="1">
      <c r="C84" s="80" t="s">
        <v>41</v>
      </c>
      <c r="D84" s="93"/>
      <c r="E84" s="94"/>
      <c r="F84" s="93"/>
      <c r="G84" s="94"/>
      <c r="H84" s="93"/>
      <c r="I84" s="231">
        <f>SUM(I75:I83)</f>
        <v>3441.03</v>
      </c>
      <c r="J84" s="64"/>
    </row>
    <row r="85" spans="3:10" ht="12.75" customHeight="1">
      <c r="C85" s="99"/>
      <c r="D85" s="64"/>
      <c r="E85" s="99"/>
      <c r="F85" s="64"/>
      <c r="G85" s="99"/>
      <c r="H85" s="64"/>
      <c r="I85" s="137"/>
      <c r="J85" s="64"/>
    </row>
    <row r="86" spans="3:9" ht="15" customHeight="1" hidden="1">
      <c r="C86" s="539" t="s">
        <v>73</v>
      </c>
      <c r="D86" s="540"/>
      <c r="E86" s="540"/>
      <c r="F86" s="540"/>
      <c r="G86" s="540"/>
      <c r="H86" s="540"/>
      <c r="I86" s="541"/>
    </row>
    <row r="87" spans="3:9" ht="15" customHeight="1" hidden="1">
      <c r="C87" s="71" t="s">
        <v>11</v>
      </c>
      <c r="D87" s="72"/>
      <c r="E87" s="73">
        <v>1</v>
      </c>
      <c r="F87" s="72" t="s">
        <v>9</v>
      </c>
      <c r="G87" s="74">
        <f>Insumos!D16</f>
        <v>1138.02</v>
      </c>
      <c r="H87" s="72" t="s">
        <v>10</v>
      </c>
      <c r="I87" s="75">
        <f aca="true" t="shared" si="9" ref="I87:I92">ROUND(E87*G87,2)</f>
        <v>1138.02</v>
      </c>
    </row>
    <row r="88" spans="3:9" ht="15" customHeight="1" hidden="1">
      <c r="C88" s="105" t="s">
        <v>2</v>
      </c>
      <c r="D88" s="39"/>
      <c r="E88" s="221">
        <v>0</v>
      </c>
      <c r="F88" s="39" t="s">
        <v>9</v>
      </c>
      <c r="G88" s="220">
        <f>Insumos!D19</f>
        <v>1212</v>
      </c>
      <c r="H88" s="39" t="s">
        <v>10</v>
      </c>
      <c r="I88" s="89">
        <f t="shared" si="9"/>
        <v>0</v>
      </c>
    </row>
    <row r="89" spans="3:9" ht="15" customHeight="1" hidden="1">
      <c r="C89" s="105" t="s">
        <v>36</v>
      </c>
      <c r="D89" s="39"/>
      <c r="E89" s="222">
        <v>0</v>
      </c>
      <c r="F89" s="39" t="s">
        <v>9</v>
      </c>
      <c r="G89" s="220">
        <f>ROUND(G87/180*1.5,2)</f>
        <v>9.48</v>
      </c>
      <c r="H89" s="39" t="s">
        <v>10</v>
      </c>
      <c r="I89" s="89">
        <f t="shared" si="9"/>
        <v>0</v>
      </c>
    </row>
    <row r="90" spans="3:9" ht="15" customHeight="1" hidden="1">
      <c r="C90" s="105" t="s">
        <v>37</v>
      </c>
      <c r="D90" s="39"/>
      <c r="E90" s="222">
        <v>0</v>
      </c>
      <c r="F90" s="39" t="s">
        <v>9</v>
      </c>
      <c r="G90" s="220">
        <f>ROUND((G87/180)*2,2)</f>
        <v>12.64</v>
      </c>
      <c r="H90" s="39" t="s">
        <v>10</v>
      </c>
      <c r="I90" s="89">
        <f t="shared" si="9"/>
        <v>0</v>
      </c>
    </row>
    <row r="91" spans="3:15" ht="15" customHeight="1" hidden="1">
      <c r="C91" s="105" t="s">
        <v>70</v>
      </c>
      <c r="D91" s="39"/>
      <c r="E91" s="222">
        <v>114</v>
      </c>
      <c r="F91" s="39" t="s">
        <v>9</v>
      </c>
      <c r="G91" s="220">
        <f>(G87/180)*0.2</f>
        <v>1.26</v>
      </c>
      <c r="H91" s="39" t="s">
        <v>10</v>
      </c>
      <c r="I91" s="89">
        <f t="shared" si="9"/>
        <v>143.64</v>
      </c>
      <c r="J91" s="34"/>
      <c r="N91" s="394" t="s">
        <v>80</v>
      </c>
      <c r="O91" s="394"/>
    </row>
    <row r="92" spans="3:10" ht="15" customHeight="1" hidden="1">
      <c r="C92" s="227" t="s">
        <v>38</v>
      </c>
      <c r="D92" s="124"/>
      <c r="E92" s="243">
        <f>E74</f>
        <v>0.776</v>
      </c>
      <c r="F92" s="124" t="s">
        <v>9</v>
      </c>
      <c r="G92" s="229">
        <f>SUM(I87:I91)</f>
        <v>1281.66</v>
      </c>
      <c r="H92" s="124" t="s">
        <v>10</v>
      </c>
      <c r="I92" s="230">
        <f t="shared" si="9"/>
        <v>994.57</v>
      </c>
      <c r="J92" s="39"/>
    </row>
    <row r="93" spans="3:10" ht="15" customHeight="1" hidden="1">
      <c r="C93" s="225" t="s">
        <v>40</v>
      </c>
      <c r="D93" s="39"/>
      <c r="E93" s="203"/>
      <c r="F93" s="39"/>
      <c r="G93" s="88"/>
      <c r="H93" s="39"/>
      <c r="I93" s="226">
        <f>SUM(I87:I92)</f>
        <v>2276.23</v>
      </c>
      <c r="J93" s="39"/>
    </row>
    <row r="94" spans="3:10" ht="15" customHeight="1" hidden="1">
      <c r="C94" s="71" t="s">
        <v>39</v>
      </c>
      <c r="D94" s="72"/>
      <c r="E94" s="73">
        <v>15</v>
      </c>
      <c r="F94" s="72" t="s">
        <v>9</v>
      </c>
      <c r="G94" s="79">
        <f>G76</f>
        <v>15.23</v>
      </c>
      <c r="H94" s="72" t="s">
        <v>10</v>
      </c>
      <c r="I94" s="75">
        <f aca="true" t="shared" si="10" ref="I94:I99">ROUND(E94*G94,2)</f>
        <v>228.45</v>
      </c>
      <c r="J94" s="39"/>
    </row>
    <row r="95" spans="3:10" ht="15" customHeight="1" hidden="1">
      <c r="C95" s="105" t="s">
        <v>95</v>
      </c>
      <c r="D95" s="39"/>
      <c r="E95" s="87">
        <v>1</v>
      </c>
      <c r="F95" s="39" t="s">
        <v>9</v>
      </c>
      <c r="G95" s="79">
        <f aca="true" t="shared" si="11" ref="G95:G100">G77</f>
        <v>215.25</v>
      </c>
      <c r="H95" s="39" t="s">
        <v>10</v>
      </c>
      <c r="I95" s="89">
        <f t="shared" si="10"/>
        <v>215.25</v>
      </c>
      <c r="J95" s="39"/>
    </row>
    <row r="96" spans="3:10" ht="15" customHeight="1" hidden="1">
      <c r="C96" s="71" t="s">
        <v>134</v>
      </c>
      <c r="D96" s="72"/>
      <c r="E96" s="73">
        <v>1</v>
      </c>
      <c r="F96" s="72" t="s">
        <v>9</v>
      </c>
      <c r="G96" s="79">
        <f t="shared" si="11"/>
        <v>17.94</v>
      </c>
      <c r="H96" s="72" t="s">
        <v>10</v>
      </c>
      <c r="I96" s="75">
        <f t="shared" si="10"/>
        <v>17.94</v>
      </c>
      <c r="J96" s="83"/>
    </row>
    <row r="97" spans="3:10" ht="15" customHeight="1" hidden="1">
      <c r="C97" s="105" t="s">
        <v>177</v>
      </c>
      <c r="D97" s="39"/>
      <c r="E97" s="87">
        <v>1</v>
      </c>
      <c r="F97" s="39" t="s">
        <v>9</v>
      </c>
      <c r="G97" s="79">
        <f t="shared" si="11"/>
        <v>17.94</v>
      </c>
      <c r="H97" s="39" t="s">
        <v>10</v>
      </c>
      <c r="I97" s="89">
        <f t="shared" si="10"/>
        <v>17.94</v>
      </c>
      <c r="J97" s="39"/>
    </row>
    <row r="98" spans="3:10" ht="15" customHeight="1" hidden="1">
      <c r="C98" s="71" t="s">
        <v>171</v>
      </c>
      <c r="D98" s="72"/>
      <c r="E98" s="73">
        <v>1</v>
      </c>
      <c r="F98" s="72" t="s">
        <v>9</v>
      </c>
      <c r="G98" s="79">
        <f t="shared" si="11"/>
        <v>60</v>
      </c>
      <c r="H98" s="72" t="s">
        <v>10</v>
      </c>
      <c r="I98" s="75">
        <f t="shared" si="10"/>
        <v>60</v>
      </c>
      <c r="J98" s="39"/>
    </row>
    <row r="99" spans="3:10" ht="15" customHeight="1" hidden="1">
      <c r="C99" s="105" t="s">
        <v>54</v>
      </c>
      <c r="D99" s="39"/>
      <c r="E99" s="87">
        <v>1</v>
      </c>
      <c r="F99" s="39" t="s">
        <v>9</v>
      </c>
      <c r="G99" s="79">
        <f t="shared" si="11"/>
        <v>14</v>
      </c>
      <c r="H99" s="39" t="s">
        <v>10</v>
      </c>
      <c r="I99" s="89">
        <f t="shared" si="10"/>
        <v>14</v>
      </c>
      <c r="J99" s="39"/>
    </row>
    <row r="100" spans="3:10" ht="15" customHeight="1" hidden="1">
      <c r="C100" s="71" t="s">
        <v>169</v>
      </c>
      <c r="D100" s="72"/>
      <c r="E100" s="73">
        <f>2*E94</f>
        <v>30</v>
      </c>
      <c r="F100" s="72" t="s">
        <v>9</v>
      </c>
      <c r="G100" s="79">
        <f t="shared" si="11"/>
        <v>3.8</v>
      </c>
      <c r="H100" s="72" t="s">
        <v>10</v>
      </c>
      <c r="I100" s="75">
        <f>IF(G87*6%&lt;E100*G100,ROUND(E100*G100,2)-6%*G87,0)</f>
        <v>45.72</v>
      </c>
      <c r="J100" s="91"/>
    </row>
    <row r="101" spans="3:10" ht="15" customHeight="1" hidden="1">
      <c r="C101" s="105" t="s">
        <v>13</v>
      </c>
      <c r="D101" s="39"/>
      <c r="E101" s="247">
        <f>E87</f>
        <v>1</v>
      </c>
      <c r="F101" s="39" t="s">
        <v>9</v>
      </c>
      <c r="G101" s="88">
        <f>J24</f>
        <v>80.24</v>
      </c>
      <c r="H101" s="39" t="s">
        <v>10</v>
      </c>
      <c r="I101" s="89">
        <f>ROUND(E101*G101,2)</f>
        <v>80.24</v>
      </c>
      <c r="J101" s="39"/>
    </row>
    <row r="102" spans="3:10" ht="15" customHeight="1" hidden="1">
      <c r="C102" s="80" t="s">
        <v>41</v>
      </c>
      <c r="D102" s="93"/>
      <c r="E102" s="94"/>
      <c r="F102" s="93"/>
      <c r="G102" s="94"/>
      <c r="H102" s="93"/>
      <c r="I102" s="231">
        <f>SUM(I93:I101)</f>
        <v>2955.77</v>
      </c>
      <c r="J102" s="64"/>
    </row>
    <row r="103" spans="3:10" ht="15.75" customHeight="1" hidden="1">
      <c r="C103" s="99"/>
      <c r="D103" s="64"/>
      <c r="E103" s="99"/>
      <c r="F103" s="64"/>
      <c r="G103" s="99"/>
      <c r="H103" s="64"/>
      <c r="I103" s="232"/>
      <c r="J103" s="64"/>
    </row>
    <row r="104" spans="3:9" ht="15" customHeight="1" hidden="1">
      <c r="C104" s="539" t="s">
        <v>362</v>
      </c>
      <c r="D104" s="540"/>
      <c r="E104" s="540"/>
      <c r="F104" s="540"/>
      <c r="G104" s="540"/>
      <c r="H104" s="540"/>
      <c r="I104" s="541"/>
    </row>
    <row r="105" spans="3:9" ht="15" customHeight="1" hidden="1">
      <c r="C105" s="71" t="s">
        <v>11</v>
      </c>
      <c r="D105" s="72"/>
      <c r="E105" s="73">
        <v>1</v>
      </c>
      <c r="F105" s="72" t="s">
        <v>9</v>
      </c>
      <c r="G105" s="74">
        <f>Insumos!D17</f>
        <v>1138.02</v>
      </c>
      <c r="H105" s="72" t="s">
        <v>10</v>
      </c>
      <c r="I105" s="75">
        <f aca="true" t="shared" si="12" ref="I105:I110">ROUND(E105*G105,2)</f>
        <v>1138.02</v>
      </c>
    </row>
    <row r="106" spans="3:9" ht="15" customHeight="1" hidden="1">
      <c r="C106" s="105" t="s">
        <v>2</v>
      </c>
      <c r="D106" s="39"/>
      <c r="E106" s="221">
        <v>0</v>
      </c>
      <c r="F106" s="39" t="s">
        <v>9</v>
      </c>
      <c r="G106" s="220">
        <f>Insumos!D22</f>
        <v>0</v>
      </c>
      <c r="H106" s="39" t="s">
        <v>10</v>
      </c>
      <c r="I106" s="89">
        <f t="shared" si="12"/>
        <v>0</v>
      </c>
    </row>
    <row r="107" spans="3:9" ht="15" customHeight="1" hidden="1">
      <c r="C107" s="105" t="s">
        <v>36</v>
      </c>
      <c r="D107" s="39"/>
      <c r="E107" s="222">
        <v>0</v>
      </c>
      <c r="F107" s="39" t="s">
        <v>9</v>
      </c>
      <c r="G107" s="220">
        <f>ROUND(G105/180*1.5,2)</f>
        <v>9.48</v>
      </c>
      <c r="H107" s="39" t="s">
        <v>10</v>
      </c>
      <c r="I107" s="89">
        <f t="shared" si="12"/>
        <v>0</v>
      </c>
    </row>
    <row r="108" spans="3:9" ht="15" customHeight="1" hidden="1">
      <c r="C108" s="105" t="s">
        <v>37</v>
      </c>
      <c r="D108" s="39"/>
      <c r="E108" s="222">
        <v>0</v>
      </c>
      <c r="F108" s="39" t="s">
        <v>9</v>
      </c>
      <c r="G108" s="220">
        <f>ROUND((G105/180)*2,2)</f>
        <v>12.64</v>
      </c>
      <c r="H108" s="39" t="s">
        <v>10</v>
      </c>
      <c r="I108" s="89">
        <f t="shared" si="12"/>
        <v>0</v>
      </c>
    </row>
    <row r="109" spans="3:15" ht="15" customHeight="1" hidden="1">
      <c r="C109" s="105" t="s">
        <v>70</v>
      </c>
      <c r="D109" s="39"/>
      <c r="E109" s="222">
        <v>0</v>
      </c>
      <c r="F109" s="39" t="s">
        <v>9</v>
      </c>
      <c r="G109" s="220">
        <f>(G105/180)*0.2</f>
        <v>1.26</v>
      </c>
      <c r="H109" s="39" t="s">
        <v>10</v>
      </c>
      <c r="I109" s="89">
        <f t="shared" si="12"/>
        <v>0</v>
      </c>
      <c r="J109" s="34"/>
      <c r="N109" s="394" t="s">
        <v>80</v>
      </c>
      <c r="O109" s="394"/>
    </row>
    <row r="110" spans="3:10" ht="15" customHeight="1" hidden="1">
      <c r="C110" s="227" t="s">
        <v>38</v>
      </c>
      <c r="D110" s="124"/>
      <c r="E110" s="243">
        <f>E92</f>
        <v>0.776</v>
      </c>
      <c r="F110" s="124" t="s">
        <v>9</v>
      </c>
      <c r="G110" s="229">
        <f>SUM(I105:I109)</f>
        <v>1138.02</v>
      </c>
      <c r="H110" s="124" t="s">
        <v>10</v>
      </c>
      <c r="I110" s="230">
        <f t="shared" si="12"/>
        <v>883.1</v>
      </c>
      <c r="J110" s="39"/>
    </row>
    <row r="111" spans="3:10" ht="15" customHeight="1" hidden="1">
      <c r="C111" s="225" t="s">
        <v>40</v>
      </c>
      <c r="D111" s="39"/>
      <c r="E111" s="203"/>
      <c r="F111" s="39"/>
      <c r="G111" s="88"/>
      <c r="H111" s="39"/>
      <c r="I111" s="226">
        <f>SUM(I105:I110)</f>
        <v>2021.12</v>
      </c>
      <c r="J111" s="39"/>
    </row>
    <row r="112" spans="3:10" ht="15" customHeight="1" hidden="1">
      <c r="C112" s="71" t="s">
        <v>39</v>
      </c>
      <c r="D112" s="72"/>
      <c r="E112" s="73">
        <v>15</v>
      </c>
      <c r="F112" s="72" t="s">
        <v>9</v>
      </c>
      <c r="G112" s="79">
        <f aca="true" t="shared" si="13" ref="G112:G118">G94</f>
        <v>15.23</v>
      </c>
      <c r="H112" s="72" t="s">
        <v>10</v>
      </c>
      <c r="I112" s="75">
        <f aca="true" t="shared" si="14" ref="I112:I117">ROUND(E112*G112,2)</f>
        <v>228.45</v>
      </c>
      <c r="J112" s="39"/>
    </row>
    <row r="113" spans="3:10" ht="15" customHeight="1" hidden="1">
      <c r="C113" s="105" t="s">
        <v>95</v>
      </c>
      <c r="D113" s="39"/>
      <c r="E113" s="87">
        <v>1</v>
      </c>
      <c r="F113" s="39" t="s">
        <v>9</v>
      </c>
      <c r="G113" s="79">
        <f t="shared" si="13"/>
        <v>215.25</v>
      </c>
      <c r="H113" s="39" t="s">
        <v>10</v>
      </c>
      <c r="I113" s="89">
        <f t="shared" si="14"/>
        <v>215.25</v>
      </c>
      <c r="J113" s="39"/>
    </row>
    <row r="114" spans="3:10" ht="15" customHeight="1" hidden="1">
      <c r="C114" s="71" t="s">
        <v>134</v>
      </c>
      <c r="D114" s="72"/>
      <c r="E114" s="73">
        <v>1</v>
      </c>
      <c r="F114" s="72" t="s">
        <v>9</v>
      </c>
      <c r="G114" s="79">
        <f t="shared" si="13"/>
        <v>17.94</v>
      </c>
      <c r="H114" s="72" t="s">
        <v>10</v>
      </c>
      <c r="I114" s="75">
        <f t="shared" si="14"/>
        <v>17.94</v>
      </c>
      <c r="J114" s="83"/>
    </row>
    <row r="115" spans="3:10" ht="15" customHeight="1" hidden="1">
      <c r="C115" s="105" t="s">
        <v>177</v>
      </c>
      <c r="D115" s="39"/>
      <c r="E115" s="87">
        <v>1</v>
      </c>
      <c r="F115" s="39" t="s">
        <v>9</v>
      </c>
      <c r="G115" s="79">
        <f t="shared" si="13"/>
        <v>17.94</v>
      </c>
      <c r="H115" s="39" t="s">
        <v>10</v>
      </c>
      <c r="I115" s="89">
        <f t="shared" si="14"/>
        <v>17.94</v>
      </c>
      <c r="J115" s="39"/>
    </row>
    <row r="116" spans="3:10" ht="15" customHeight="1" hidden="1">
      <c r="C116" s="71" t="s">
        <v>171</v>
      </c>
      <c r="D116" s="72"/>
      <c r="E116" s="73">
        <v>1</v>
      </c>
      <c r="F116" s="72" t="s">
        <v>9</v>
      </c>
      <c r="G116" s="79">
        <f t="shared" si="13"/>
        <v>60</v>
      </c>
      <c r="H116" s="72" t="s">
        <v>10</v>
      </c>
      <c r="I116" s="75">
        <f t="shared" si="14"/>
        <v>60</v>
      </c>
      <c r="J116" s="39"/>
    </row>
    <row r="117" spans="3:10" ht="15" customHeight="1" hidden="1">
      <c r="C117" s="105" t="s">
        <v>54</v>
      </c>
      <c r="D117" s="39"/>
      <c r="E117" s="87">
        <v>1</v>
      </c>
      <c r="F117" s="39" t="s">
        <v>9</v>
      </c>
      <c r="G117" s="79">
        <f t="shared" si="13"/>
        <v>14</v>
      </c>
      <c r="H117" s="39" t="s">
        <v>10</v>
      </c>
      <c r="I117" s="89">
        <f t="shared" si="14"/>
        <v>14</v>
      </c>
      <c r="J117" s="39"/>
    </row>
    <row r="118" spans="3:10" ht="15" customHeight="1" hidden="1">
      <c r="C118" s="71" t="s">
        <v>169</v>
      </c>
      <c r="D118" s="72"/>
      <c r="E118" s="73">
        <f>2*E112</f>
        <v>30</v>
      </c>
      <c r="F118" s="72" t="s">
        <v>9</v>
      </c>
      <c r="G118" s="79">
        <f t="shared" si="13"/>
        <v>3.8</v>
      </c>
      <c r="H118" s="72" t="s">
        <v>10</v>
      </c>
      <c r="I118" s="75">
        <f>IF(G105*6%&lt;E118*G118,ROUND(E118*G118,2)-6%*G105,0)</f>
        <v>45.72</v>
      </c>
      <c r="J118" s="91"/>
    </row>
    <row r="119" spans="3:10" ht="15" customHeight="1" hidden="1">
      <c r="C119" s="105" t="s">
        <v>13</v>
      </c>
      <c r="D119" s="39"/>
      <c r="E119" s="247">
        <f>E105</f>
        <v>1</v>
      </c>
      <c r="F119" s="39" t="s">
        <v>9</v>
      </c>
      <c r="G119" s="88">
        <f>J24</f>
        <v>80.24</v>
      </c>
      <c r="H119" s="39" t="s">
        <v>10</v>
      </c>
      <c r="I119" s="89">
        <f>ROUND(E119*G119,2)</f>
        <v>80.24</v>
      </c>
      <c r="J119" s="39"/>
    </row>
    <row r="120" spans="3:10" ht="15" customHeight="1" hidden="1">
      <c r="C120" s="80" t="s">
        <v>41</v>
      </c>
      <c r="D120" s="93"/>
      <c r="E120" s="94"/>
      <c r="F120" s="93"/>
      <c r="G120" s="94"/>
      <c r="H120" s="93"/>
      <c r="I120" s="231">
        <f>SUM(I111:I119)</f>
        <v>2700.66</v>
      </c>
      <c r="J120" s="64"/>
    </row>
    <row r="121" spans="3:10" ht="15" customHeight="1" hidden="1">
      <c r="C121" s="99"/>
      <c r="D121" s="64"/>
      <c r="E121" s="99"/>
      <c r="F121" s="64"/>
      <c r="G121" s="99"/>
      <c r="H121" s="64"/>
      <c r="I121" s="215"/>
      <c r="J121" s="64"/>
    </row>
    <row r="122" spans="3:10" ht="15" customHeight="1">
      <c r="C122" s="216" t="s">
        <v>159</v>
      </c>
      <c r="D122" s="66"/>
      <c r="E122" s="67"/>
      <c r="F122" s="66"/>
      <c r="G122" s="67"/>
      <c r="H122" s="66"/>
      <c r="I122" s="68"/>
      <c r="J122" s="64"/>
    </row>
    <row r="123" spans="3:10" ht="15" customHeight="1">
      <c r="C123" s="168" t="s">
        <v>11</v>
      </c>
      <c r="D123" s="169"/>
      <c r="E123" s="248">
        <v>1</v>
      </c>
      <c r="F123" s="169" t="s">
        <v>9</v>
      </c>
      <c r="G123" s="249">
        <f>G87</f>
        <v>1138.02</v>
      </c>
      <c r="H123" s="169" t="s">
        <v>10</v>
      </c>
      <c r="I123" s="250">
        <f aca="true" t="shared" si="15" ref="I123:I128">ROUND(E123*G123,2)</f>
        <v>1138.02</v>
      </c>
      <c r="J123" s="64"/>
    </row>
    <row r="124" spans="3:10" ht="15" customHeight="1" hidden="1">
      <c r="C124" s="105" t="s">
        <v>2</v>
      </c>
      <c r="D124" s="39"/>
      <c r="E124" s="221">
        <v>0</v>
      </c>
      <c r="F124" s="39" t="s">
        <v>9</v>
      </c>
      <c r="G124" s="220">
        <v>937</v>
      </c>
      <c r="H124" s="39" t="s">
        <v>10</v>
      </c>
      <c r="I124" s="89">
        <f t="shared" si="15"/>
        <v>0</v>
      </c>
      <c r="J124" s="64"/>
    </row>
    <row r="125" spans="3:10" ht="15" customHeight="1" hidden="1">
      <c r="C125" s="71" t="s">
        <v>36</v>
      </c>
      <c r="D125" s="72"/>
      <c r="E125" s="77">
        <v>0</v>
      </c>
      <c r="F125" s="72" t="s">
        <v>9</v>
      </c>
      <c r="G125" s="74">
        <f>ROUND(G123/220*1.5,2)</f>
        <v>7.76</v>
      </c>
      <c r="H125" s="72" t="s">
        <v>10</v>
      </c>
      <c r="I125" s="75">
        <f t="shared" si="15"/>
        <v>0</v>
      </c>
      <c r="J125" s="64"/>
    </row>
    <row r="126" spans="3:10" ht="15" customHeight="1" hidden="1">
      <c r="C126" s="105" t="s">
        <v>37</v>
      </c>
      <c r="D126" s="39"/>
      <c r="E126" s="222">
        <v>0</v>
      </c>
      <c r="F126" s="39" t="s">
        <v>9</v>
      </c>
      <c r="G126" s="220">
        <f>ROUND((G123/220)*2,2)</f>
        <v>10.35</v>
      </c>
      <c r="H126" s="39" t="s">
        <v>10</v>
      </c>
      <c r="I126" s="89">
        <f t="shared" si="15"/>
        <v>0</v>
      </c>
      <c r="J126" s="64"/>
    </row>
    <row r="127" spans="3:10" ht="15" customHeight="1" hidden="1">
      <c r="C127" s="105" t="s">
        <v>70</v>
      </c>
      <c r="D127" s="39"/>
      <c r="E127" s="222">
        <v>0</v>
      </c>
      <c r="F127" s="39" t="s">
        <v>9</v>
      </c>
      <c r="G127" s="220">
        <f>(G123/220)*0.2</f>
        <v>1.03</v>
      </c>
      <c r="H127" s="39" t="s">
        <v>10</v>
      </c>
      <c r="I127" s="89">
        <f t="shared" si="15"/>
        <v>0</v>
      </c>
      <c r="J127" s="64"/>
    </row>
    <row r="128" spans="3:10" ht="15" customHeight="1">
      <c r="C128" s="71" t="s">
        <v>38</v>
      </c>
      <c r="D128" s="72"/>
      <c r="E128" s="81">
        <f>'COMPOSIÇÃO DOS ENCARGOS '!C43</f>
        <v>0.776</v>
      </c>
      <c r="F128" s="72" t="s">
        <v>9</v>
      </c>
      <c r="G128" s="79">
        <f>G123</f>
        <v>1138.02</v>
      </c>
      <c r="H128" s="72" t="s">
        <v>10</v>
      </c>
      <c r="I128" s="75">
        <f t="shared" si="15"/>
        <v>883.1</v>
      </c>
      <c r="J128" s="64"/>
    </row>
    <row r="129" spans="3:10" ht="15" customHeight="1">
      <c r="C129" s="80" t="s">
        <v>40</v>
      </c>
      <c r="D129" s="72"/>
      <c r="E129" s="81"/>
      <c r="F129" s="72"/>
      <c r="G129" s="79"/>
      <c r="H129" s="72"/>
      <c r="I129" s="82">
        <f>SUM(I123:I128)</f>
        <v>2021.12</v>
      </c>
      <c r="J129" s="64"/>
    </row>
    <row r="130" spans="3:10" ht="15" customHeight="1">
      <c r="C130" s="71" t="s">
        <v>39</v>
      </c>
      <c r="D130" s="72"/>
      <c r="E130" s="73">
        <v>22</v>
      </c>
      <c r="F130" s="72" t="s">
        <v>9</v>
      </c>
      <c r="G130" s="79">
        <f aca="true" t="shared" si="16" ref="G130:G136">G112</f>
        <v>15.23</v>
      </c>
      <c r="H130" s="72" t="s">
        <v>10</v>
      </c>
      <c r="I130" s="75">
        <f aca="true" t="shared" si="17" ref="I130:I135">ROUND(E130*G130,2)</f>
        <v>335.06</v>
      </c>
      <c r="J130" s="64"/>
    </row>
    <row r="131" spans="3:10" ht="15" customHeight="1">
      <c r="C131" s="105" t="s">
        <v>95</v>
      </c>
      <c r="D131" s="39"/>
      <c r="E131" s="87">
        <v>1</v>
      </c>
      <c r="F131" s="39" t="s">
        <v>9</v>
      </c>
      <c r="G131" s="79">
        <f t="shared" si="16"/>
        <v>215.25</v>
      </c>
      <c r="H131" s="39" t="s">
        <v>10</v>
      </c>
      <c r="I131" s="89">
        <f t="shared" si="17"/>
        <v>215.25</v>
      </c>
      <c r="J131" s="64"/>
    </row>
    <row r="132" spans="3:10" ht="15" customHeight="1">
      <c r="C132" s="71" t="s">
        <v>134</v>
      </c>
      <c r="D132" s="72"/>
      <c r="E132" s="73">
        <v>1</v>
      </c>
      <c r="F132" s="72" t="s">
        <v>9</v>
      </c>
      <c r="G132" s="79">
        <f t="shared" si="16"/>
        <v>17.94</v>
      </c>
      <c r="H132" s="72" t="s">
        <v>10</v>
      </c>
      <c r="I132" s="75">
        <f t="shared" si="17"/>
        <v>17.94</v>
      </c>
      <c r="J132" s="64"/>
    </row>
    <row r="133" spans="3:10" ht="15" customHeight="1">
      <c r="C133" s="97" t="s">
        <v>177</v>
      </c>
      <c r="D133" s="72"/>
      <c r="E133" s="73">
        <v>1</v>
      </c>
      <c r="F133" s="72" t="s">
        <v>9</v>
      </c>
      <c r="G133" s="79">
        <f t="shared" si="16"/>
        <v>17.94</v>
      </c>
      <c r="H133" s="72" t="s">
        <v>10</v>
      </c>
      <c r="I133" s="75">
        <f t="shared" si="17"/>
        <v>17.94</v>
      </c>
      <c r="J133" s="64"/>
    </row>
    <row r="134" spans="3:10" ht="15" customHeight="1">
      <c r="C134" s="105" t="s">
        <v>171</v>
      </c>
      <c r="D134" s="39"/>
      <c r="E134" s="87">
        <v>1</v>
      </c>
      <c r="F134" s="39" t="s">
        <v>9</v>
      </c>
      <c r="G134" s="79">
        <f t="shared" si="16"/>
        <v>60</v>
      </c>
      <c r="H134" s="39" t="s">
        <v>10</v>
      </c>
      <c r="I134" s="89">
        <f t="shared" si="17"/>
        <v>60</v>
      </c>
      <c r="J134" s="64"/>
    </row>
    <row r="135" spans="3:10" ht="15" customHeight="1">
      <c r="C135" s="71" t="s">
        <v>54</v>
      </c>
      <c r="D135" s="72"/>
      <c r="E135" s="73">
        <v>1</v>
      </c>
      <c r="F135" s="72" t="s">
        <v>9</v>
      </c>
      <c r="G135" s="79">
        <f t="shared" si="16"/>
        <v>14</v>
      </c>
      <c r="H135" s="72" t="s">
        <v>10</v>
      </c>
      <c r="I135" s="75">
        <f t="shared" si="17"/>
        <v>14</v>
      </c>
      <c r="J135" s="64"/>
    </row>
    <row r="136" spans="3:10" ht="15" customHeight="1">
      <c r="C136" s="97" t="s">
        <v>169</v>
      </c>
      <c r="D136" s="39"/>
      <c r="E136" s="87">
        <f>2*E130</f>
        <v>44</v>
      </c>
      <c r="F136" s="39" t="s">
        <v>9</v>
      </c>
      <c r="G136" s="79">
        <f t="shared" si="16"/>
        <v>3.8</v>
      </c>
      <c r="H136" s="39" t="s">
        <v>10</v>
      </c>
      <c r="I136" s="89">
        <f>IF(G123*6%&lt;E136*G136,ROUND(E136*G136,2)-6%*G123,0)</f>
        <v>98.92</v>
      </c>
      <c r="J136" s="64"/>
    </row>
    <row r="137" spans="3:10" ht="15" customHeight="1">
      <c r="C137" s="71" t="s">
        <v>13</v>
      </c>
      <c r="D137" s="72"/>
      <c r="E137" s="98">
        <f>E123</f>
        <v>1</v>
      </c>
      <c r="F137" s="72" t="s">
        <v>9</v>
      </c>
      <c r="G137" s="79">
        <f>J24</f>
        <v>80.24</v>
      </c>
      <c r="H137" s="72" t="s">
        <v>10</v>
      </c>
      <c r="I137" s="75">
        <f>ROUND(E137*G137,2)</f>
        <v>80.24</v>
      </c>
      <c r="J137" s="64"/>
    </row>
    <row r="138" spans="3:10" ht="15" customHeight="1">
      <c r="C138" s="80" t="s">
        <v>41</v>
      </c>
      <c r="D138" s="93"/>
      <c r="E138" s="94"/>
      <c r="F138" s="93"/>
      <c r="G138" s="94"/>
      <c r="H138" s="93"/>
      <c r="I138" s="231">
        <f>SUM(I129:I137)</f>
        <v>2860.47</v>
      </c>
      <c r="J138" s="64"/>
    </row>
    <row r="139" spans="3:10" ht="15" customHeight="1">
      <c r="C139" s="99"/>
      <c r="D139" s="64"/>
      <c r="E139" s="99"/>
      <c r="F139" s="64"/>
      <c r="G139" s="99"/>
      <c r="H139" s="64"/>
      <c r="I139" s="137"/>
      <c r="J139" s="64"/>
    </row>
    <row r="140" spans="3:10" ht="15" customHeight="1">
      <c r="C140" s="513" t="s">
        <v>63</v>
      </c>
      <c r="D140" s="514"/>
      <c r="E140" s="514"/>
      <c r="F140" s="514"/>
      <c r="G140" s="514"/>
      <c r="H140" s="514"/>
      <c r="I140" s="515"/>
      <c r="J140" s="34"/>
    </row>
    <row r="141" spans="3:10" ht="15" customHeight="1">
      <c r="C141" s="442" t="s">
        <v>142</v>
      </c>
      <c r="D141" s="443"/>
      <c r="E141" s="444"/>
      <c r="F141" s="251" t="s">
        <v>121</v>
      </c>
      <c r="G141" s="427" t="s">
        <v>144</v>
      </c>
      <c r="H141" s="429"/>
      <c r="I141" s="252" t="s">
        <v>145</v>
      </c>
      <c r="J141" s="34"/>
    </row>
    <row r="142" spans="3:10" ht="15" customHeight="1">
      <c r="C142" s="550" t="str">
        <f>C7</f>
        <v>Gerente GERAL / Engenheiro Agrônomo</v>
      </c>
      <c r="D142" s="550"/>
      <c r="E142" s="550"/>
      <c r="F142" s="140">
        <f>I7</f>
        <v>1</v>
      </c>
      <c r="G142" s="253">
        <f>I48</f>
        <v>17704.59</v>
      </c>
      <c r="H142" s="131"/>
      <c r="I142" s="75">
        <f>F142*G142</f>
        <v>17704.59</v>
      </c>
      <c r="J142" s="34"/>
    </row>
    <row r="143" spans="3:10" ht="15" customHeight="1">
      <c r="C143" s="550" t="str">
        <f>C8</f>
        <v>Auxiliar Administrativo</v>
      </c>
      <c r="D143" s="550"/>
      <c r="E143" s="550"/>
      <c r="F143" s="140">
        <f>I8</f>
        <v>1</v>
      </c>
      <c r="G143" s="52">
        <f>I84</f>
        <v>3441.03</v>
      </c>
      <c r="H143" s="53"/>
      <c r="I143" s="250">
        <f>F143*G143</f>
        <v>3441.03</v>
      </c>
      <c r="J143" s="34"/>
    </row>
    <row r="144" spans="3:10" ht="15" customHeight="1">
      <c r="C144" s="550" t="str">
        <f>C9</f>
        <v>Tec. Seg. Trabalho Diurno</v>
      </c>
      <c r="D144" s="550"/>
      <c r="E144" s="550"/>
      <c r="F144" s="140">
        <f>I9</f>
        <v>1</v>
      </c>
      <c r="G144" s="187">
        <f>I66</f>
        <v>5156.94</v>
      </c>
      <c r="H144" s="134"/>
      <c r="I144" s="75">
        <f>F144*G144</f>
        <v>5156.94</v>
      </c>
      <c r="J144" s="34"/>
    </row>
    <row r="145" spans="3:10" ht="15" customHeight="1">
      <c r="C145" s="550" t="str">
        <f>C10</f>
        <v>Auxiliar de Serviços Gerais </v>
      </c>
      <c r="D145" s="550"/>
      <c r="E145" s="550"/>
      <c r="F145" s="140">
        <f>I10</f>
        <v>1</v>
      </c>
      <c r="G145" s="52">
        <f>I138</f>
        <v>2860.47</v>
      </c>
      <c r="H145" s="53"/>
      <c r="I145" s="75">
        <f>F145*G145</f>
        <v>2860.47</v>
      </c>
      <c r="J145" s="34"/>
    </row>
    <row r="146" spans="2:13" ht="15" customHeight="1">
      <c r="B146" s="109"/>
      <c r="C146" s="101" t="s">
        <v>160</v>
      </c>
      <c r="D146" s="125"/>
      <c r="E146" s="125"/>
      <c r="F146" s="125"/>
      <c r="G146" s="254"/>
      <c r="H146" s="254"/>
      <c r="I146" s="255">
        <f>SUM(I142:I145)</f>
        <v>29163.03</v>
      </c>
      <c r="J146" s="256"/>
      <c r="K146" s="70"/>
      <c r="L146" s="69"/>
      <c r="M146" s="69"/>
    </row>
    <row r="147" spans="4:10" ht="15" customHeight="1">
      <c r="D147" s="34"/>
      <c r="F147" s="34"/>
      <c r="H147" s="34"/>
      <c r="J147" s="34"/>
    </row>
    <row r="148" spans="3:10" ht="15" customHeight="1">
      <c r="C148" s="257" t="s">
        <v>146</v>
      </c>
      <c r="D148" s="39"/>
      <c r="E148" s="91"/>
      <c r="F148" s="39"/>
      <c r="G148" s="91"/>
      <c r="H148" s="39"/>
      <c r="I148" s="88"/>
      <c r="J148" s="64"/>
    </row>
    <row r="149" spans="2:13" ht="18.75" customHeight="1">
      <c r="B149" s="109"/>
      <c r="C149" s="129"/>
      <c r="D149" s="175"/>
      <c r="E149" s="123"/>
      <c r="F149" s="175"/>
      <c r="G149" s="123"/>
      <c r="H149" s="175"/>
      <c r="I149" s="246"/>
      <c r="J149" s="112"/>
      <c r="K149" s="70"/>
      <c r="L149" s="69"/>
      <c r="M149" s="69"/>
    </row>
    <row r="150" spans="2:13" ht="18.75" customHeight="1">
      <c r="B150" s="109"/>
      <c r="C150" s="414" t="s">
        <v>120</v>
      </c>
      <c r="D150" s="549"/>
      <c r="E150" s="549"/>
      <c r="F150" s="415"/>
      <c r="G150" s="118" t="s">
        <v>88</v>
      </c>
      <c r="H150" s="548" t="s">
        <v>147</v>
      </c>
      <c r="I150" s="548"/>
      <c r="J150" s="408" t="s">
        <v>148</v>
      </c>
      <c r="K150" s="409"/>
      <c r="L150" s="69"/>
      <c r="M150" s="69"/>
    </row>
    <row r="151" spans="2:13" ht="35.25" customHeight="1">
      <c r="B151" s="109"/>
      <c r="C151" s="547" t="s">
        <v>363</v>
      </c>
      <c r="D151" s="547"/>
      <c r="E151" s="547"/>
      <c r="F151" s="547"/>
      <c r="G151" s="121">
        <v>1</v>
      </c>
      <c r="H151" s="258"/>
      <c r="I151" s="259">
        <v>3500</v>
      </c>
      <c r="J151" s="537">
        <f>G151*I151</f>
        <v>3500</v>
      </c>
      <c r="K151" s="538"/>
      <c r="L151" s="69"/>
      <c r="M151" s="69"/>
    </row>
    <row r="152" spans="2:13" ht="35.25" customHeight="1">
      <c r="B152" s="109"/>
      <c r="C152" s="547" t="s">
        <v>364</v>
      </c>
      <c r="D152" s="547"/>
      <c r="E152" s="547"/>
      <c r="F152" s="547"/>
      <c r="G152" s="121">
        <v>1</v>
      </c>
      <c r="H152" s="258"/>
      <c r="I152" s="259">
        <f>I151:I151</f>
        <v>3500</v>
      </c>
      <c r="J152" s="537">
        <f>G152*I152</f>
        <v>3500</v>
      </c>
      <c r="K152" s="538"/>
      <c r="L152" s="69"/>
      <c r="M152" s="69"/>
    </row>
    <row r="153" spans="2:13" ht="16.5" customHeight="1">
      <c r="B153" s="109"/>
      <c r="C153" s="101" t="s">
        <v>69</v>
      </c>
      <c r="D153" s="124"/>
      <c r="E153" s="125"/>
      <c r="F153" s="124"/>
      <c r="G153" s="125"/>
      <c r="H153" s="124"/>
      <c r="I153" s="108"/>
      <c r="J153" s="551">
        <f>SUM(J151:K152)</f>
        <v>7000</v>
      </c>
      <c r="K153" s="552"/>
      <c r="L153" s="69"/>
      <c r="M153" s="69"/>
    </row>
    <row r="154" spans="2:13" ht="15" customHeight="1">
      <c r="B154" s="109"/>
      <c r="C154" s="123"/>
      <c r="D154" s="175"/>
      <c r="E154" s="123"/>
      <c r="F154" s="175"/>
      <c r="G154" s="123"/>
      <c r="H154" s="175"/>
      <c r="I154" s="176"/>
      <c r="J154" s="175"/>
      <c r="K154" s="70"/>
      <c r="L154" s="69"/>
      <c r="M154" s="69"/>
    </row>
    <row r="155" spans="1:19" s="35" customFormat="1" ht="15" customHeight="1">
      <c r="A155" s="34"/>
      <c r="B155" s="109"/>
      <c r="C155" s="69"/>
      <c r="D155" s="69"/>
      <c r="E155" s="69"/>
      <c r="F155" s="69"/>
      <c r="G155" s="69"/>
      <c r="H155" s="69"/>
      <c r="I155" s="69"/>
      <c r="J155" s="69"/>
      <c r="K155" s="70"/>
      <c r="L155" s="69"/>
      <c r="M155" s="69"/>
      <c r="N155" s="34"/>
      <c r="O155" s="34"/>
      <c r="P155" s="34"/>
      <c r="Q155" s="34"/>
      <c r="R155" s="34"/>
      <c r="S155" s="34"/>
    </row>
    <row r="156" spans="3:10" ht="15" customHeight="1">
      <c r="C156" s="566" t="s">
        <v>149</v>
      </c>
      <c r="D156" s="567"/>
      <c r="E156" s="567"/>
      <c r="F156" s="567"/>
      <c r="G156" s="567"/>
      <c r="H156" s="567"/>
      <c r="I156" s="568"/>
      <c r="J156" s="39"/>
    </row>
    <row r="157" spans="3:10" ht="15" customHeight="1">
      <c r="C157" s="453" t="s">
        <v>120</v>
      </c>
      <c r="D157" s="454"/>
      <c r="E157" s="454"/>
      <c r="F157" s="454"/>
      <c r="G157" s="47" t="s">
        <v>126</v>
      </c>
      <c r="H157" s="93"/>
      <c r="I157" s="260" t="s">
        <v>139</v>
      </c>
      <c r="J157" s="39"/>
    </row>
    <row r="158" spans="3:10" ht="15" customHeight="1">
      <c r="C158" s="71" t="s">
        <v>163</v>
      </c>
      <c r="D158" s="72"/>
      <c r="E158" s="108"/>
      <c r="F158" s="72"/>
      <c r="G158" s="107" t="s">
        <v>153</v>
      </c>
      <c r="H158" s="72"/>
      <c r="I158" s="145">
        <v>6000</v>
      </c>
      <c r="J158" s="99"/>
    </row>
    <row r="159" spans="3:10" ht="15" customHeight="1">
      <c r="C159" s="71" t="s">
        <v>74</v>
      </c>
      <c r="D159" s="72"/>
      <c r="E159" s="108"/>
      <c r="F159" s="72"/>
      <c r="G159" s="107" t="s">
        <v>153</v>
      </c>
      <c r="H159" s="72"/>
      <c r="I159" s="145">
        <v>600</v>
      </c>
      <c r="J159" s="39"/>
    </row>
    <row r="160" spans="3:10" ht="15" customHeight="1">
      <c r="C160" s="71" t="s">
        <v>75</v>
      </c>
      <c r="D160" s="72"/>
      <c r="E160" s="108"/>
      <c r="F160" s="72"/>
      <c r="G160" s="107" t="s">
        <v>153</v>
      </c>
      <c r="H160" s="72"/>
      <c r="I160" s="145">
        <v>500</v>
      </c>
      <c r="J160" s="39"/>
    </row>
    <row r="161" spans="3:10" ht="15" customHeight="1">
      <c r="C161" s="71" t="s">
        <v>428</v>
      </c>
      <c r="D161" s="72"/>
      <c r="E161" s="108"/>
      <c r="F161" s="72"/>
      <c r="G161" s="107" t="s">
        <v>153</v>
      </c>
      <c r="H161" s="72"/>
      <c r="I161" s="145">
        <v>150</v>
      </c>
      <c r="J161" s="39"/>
    </row>
    <row r="162" spans="3:10" ht="15" customHeight="1">
      <c r="C162" s="71" t="s">
        <v>161</v>
      </c>
      <c r="D162" s="72"/>
      <c r="E162" s="108"/>
      <c r="F162" s="72"/>
      <c r="G162" s="107" t="s">
        <v>153</v>
      </c>
      <c r="H162" s="72"/>
      <c r="I162" s="145">
        <v>300</v>
      </c>
      <c r="J162" s="39"/>
    </row>
    <row r="163" spans="3:10" ht="15" customHeight="1">
      <c r="C163" s="71" t="s">
        <v>76</v>
      </c>
      <c r="D163" s="72"/>
      <c r="E163" s="108"/>
      <c r="F163" s="72"/>
      <c r="G163" s="107" t="s">
        <v>153</v>
      </c>
      <c r="H163" s="72"/>
      <c r="I163" s="145">
        <v>200</v>
      </c>
      <c r="J163" s="39"/>
    </row>
    <row r="164" spans="3:10" ht="15" customHeight="1">
      <c r="C164" s="71" t="s">
        <v>150</v>
      </c>
      <c r="D164" s="72"/>
      <c r="E164" s="108"/>
      <c r="F164" s="72"/>
      <c r="G164" s="107" t="s">
        <v>153</v>
      </c>
      <c r="H164" s="72"/>
      <c r="I164" s="145">
        <v>200</v>
      </c>
      <c r="J164" s="39"/>
    </row>
    <row r="165" spans="3:10" ht="15" customHeight="1">
      <c r="C165" s="71" t="s">
        <v>151</v>
      </c>
      <c r="D165" s="72"/>
      <c r="E165" s="108"/>
      <c r="F165" s="72"/>
      <c r="G165" s="107" t="s">
        <v>153</v>
      </c>
      <c r="H165" s="72"/>
      <c r="I165" s="145">
        <v>200</v>
      </c>
      <c r="J165" s="39"/>
    </row>
    <row r="166" spans="3:10" ht="15" customHeight="1">
      <c r="C166" s="71" t="s">
        <v>152</v>
      </c>
      <c r="D166" s="72"/>
      <c r="E166" s="108"/>
      <c r="F166" s="72"/>
      <c r="G166" s="107" t="s">
        <v>153</v>
      </c>
      <c r="H166" s="72"/>
      <c r="I166" s="145">
        <v>100</v>
      </c>
      <c r="J166" s="39"/>
    </row>
    <row r="167" spans="3:10" ht="15" customHeight="1">
      <c r="C167" s="71" t="s">
        <v>178</v>
      </c>
      <c r="D167" s="72"/>
      <c r="E167" s="108"/>
      <c r="F167" s="72"/>
      <c r="G167" s="107" t="s">
        <v>153</v>
      </c>
      <c r="H167" s="72"/>
      <c r="I167" s="145">
        <v>350</v>
      </c>
      <c r="J167" s="39"/>
    </row>
    <row r="168" spans="3:10" ht="15" customHeight="1">
      <c r="C168" s="71" t="s">
        <v>162</v>
      </c>
      <c r="D168" s="72"/>
      <c r="E168" s="108"/>
      <c r="F168" s="72"/>
      <c r="G168" s="107" t="s">
        <v>153</v>
      </c>
      <c r="H168" s="72"/>
      <c r="I168" s="145">
        <f>3000/12</f>
        <v>250</v>
      </c>
      <c r="J168" s="39"/>
    </row>
    <row r="169" spans="3:10" ht="15" customHeight="1">
      <c r="C169" s="71" t="s">
        <v>158</v>
      </c>
      <c r="D169" s="72"/>
      <c r="E169" s="108"/>
      <c r="F169" s="72"/>
      <c r="G169" s="107" t="s">
        <v>153</v>
      </c>
      <c r="H169" s="72"/>
      <c r="I169" s="145">
        <v>2000</v>
      </c>
      <c r="J169" s="39"/>
    </row>
    <row r="170" spans="3:10" ht="15" customHeight="1">
      <c r="C170" s="71"/>
      <c r="D170" s="72"/>
      <c r="E170" s="108"/>
      <c r="F170" s="72"/>
      <c r="G170" s="261"/>
      <c r="H170" s="72"/>
      <c r="I170" s="145"/>
      <c r="J170" s="39"/>
    </row>
    <row r="171" spans="2:13" ht="12.75">
      <c r="B171" s="109"/>
      <c r="C171" s="101" t="s">
        <v>77</v>
      </c>
      <c r="D171" s="124"/>
      <c r="E171" s="125"/>
      <c r="F171" s="124"/>
      <c r="G171" s="262"/>
      <c r="H171" s="560">
        <f>SUM(I158:I169)</f>
        <v>10850</v>
      </c>
      <c r="I171" s="561"/>
      <c r="J171" s="112"/>
      <c r="K171" s="70"/>
      <c r="L171" s="69"/>
      <c r="M171" s="263"/>
    </row>
    <row r="172" spans="2:12" ht="12.75">
      <c r="B172" s="109"/>
      <c r="C172" s="111"/>
      <c r="D172" s="175"/>
      <c r="E172" s="123"/>
      <c r="F172" s="175"/>
      <c r="G172" s="264"/>
      <c r="H172" s="175"/>
      <c r="I172" s="113"/>
      <c r="J172" s="112"/>
      <c r="K172" s="70"/>
      <c r="L172" s="69"/>
    </row>
    <row r="173" spans="2:12" ht="12.75">
      <c r="B173" s="109"/>
      <c r="C173" s="560" t="s">
        <v>373</v>
      </c>
      <c r="D173" s="562"/>
      <c r="E173" s="562"/>
      <c r="F173" s="562"/>
      <c r="G173" s="562"/>
      <c r="H173" s="562"/>
      <c r="I173" s="561"/>
      <c r="J173" s="112"/>
      <c r="K173" s="70"/>
      <c r="L173" s="69"/>
    </row>
    <row r="174" spans="2:12" ht="12.75">
      <c r="B174" s="109"/>
      <c r="C174" s="563" t="s">
        <v>374</v>
      </c>
      <c r="D174" s="564"/>
      <c r="E174" s="564"/>
      <c r="F174" s="564"/>
      <c r="G174" s="564"/>
      <c r="H174" s="565"/>
      <c r="I174" s="265">
        <f>I146</f>
        <v>29163.03</v>
      </c>
      <c r="J174" s="112"/>
      <c r="K174" s="70"/>
      <c r="L174" s="69"/>
    </row>
    <row r="175" spans="2:12" ht="12.75">
      <c r="B175" s="109"/>
      <c r="C175" s="563" t="s">
        <v>375</v>
      </c>
      <c r="D175" s="564"/>
      <c r="E175" s="564"/>
      <c r="F175" s="564"/>
      <c r="G175" s="564"/>
      <c r="H175" s="565"/>
      <c r="I175" s="265">
        <f>J153</f>
        <v>7000</v>
      </c>
      <c r="J175" s="112"/>
      <c r="K175" s="70"/>
      <c r="L175" s="69"/>
    </row>
    <row r="176" spans="2:13" ht="12.75">
      <c r="B176" s="109"/>
      <c r="C176" s="563" t="s">
        <v>372</v>
      </c>
      <c r="D176" s="564"/>
      <c r="E176" s="564"/>
      <c r="F176" s="564"/>
      <c r="G176" s="564"/>
      <c r="H176" s="565"/>
      <c r="I176" s="266">
        <f>H171</f>
        <v>10850</v>
      </c>
      <c r="J176" s="256"/>
      <c r="K176" s="70"/>
      <c r="L176" s="69"/>
      <c r="M176" s="263"/>
    </row>
    <row r="177" spans="2:12" ht="15" customHeight="1">
      <c r="B177" s="109"/>
      <c r="C177" s="416" t="s">
        <v>77</v>
      </c>
      <c r="D177" s="516"/>
      <c r="E177" s="516"/>
      <c r="F177" s="516"/>
      <c r="G177" s="516"/>
      <c r="H177" s="417"/>
      <c r="I177" s="255">
        <f>SUM(I174:I176)</f>
        <v>47013.03</v>
      </c>
      <c r="J177" s="256"/>
      <c r="K177" s="70"/>
      <c r="L177" s="69"/>
    </row>
    <row r="178" spans="2:12" ht="15" customHeight="1">
      <c r="B178" s="109"/>
      <c r="C178" s="256"/>
      <c r="D178" s="70"/>
      <c r="E178" s="70"/>
      <c r="F178" s="70"/>
      <c r="G178" s="70"/>
      <c r="H178" s="70"/>
      <c r="I178" s="267"/>
      <c r="J178" s="256"/>
      <c r="K178" s="70"/>
      <c r="L178" s="69"/>
    </row>
    <row r="179" spans="3:10" ht="15" customHeight="1">
      <c r="C179" s="421" t="s">
        <v>231</v>
      </c>
      <c r="D179" s="419"/>
      <c r="E179" s="419"/>
      <c r="F179" s="419"/>
      <c r="G179" s="419"/>
      <c r="H179" s="420"/>
      <c r="I179" s="421">
        <f>I177</f>
        <v>47013.03</v>
      </c>
      <c r="J179" s="420"/>
    </row>
    <row r="180" spans="3:10" ht="15" customHeight="1">
      <c r="C180" s="421" t="s">
        <v>65</v>
      </c>
      <c r="D180" s="419"/>
      <c r="E180" s="419"/>
      <c r="F180" s="419"/>
      <c r="G180" s="419"/>
      <c r="H180" s="420"/>
      <c r="I180" s="476">
        <f>'BDI REF. SLU'!B14</f>
        <v>0.3512</v>
      </c>
      <c r="J180" s="477"/>
    </row>
    <row r="181" spans="3:10" ht="15" customHeight="1">
      <c r="C181" s="421" t="s">
        <v>232</v>
      </c>
      <c r="D181" s="419"/>
      <c r="E181" s="419"/>
      <c r="F181" s="419"/>
      <c r="G181" s="419"/>
      <c r="H181" s="420"/>
      <c r="I181" s="421">
        <f>ROUND(I179*(I180),2)-1</f>
        <v>16509.98</v>
      </c>
      <c r="J181" s="420"/>
    </row>
    <row r="182" spans="3:10" ht="15" customHeight="1">
      <c r="C182" s="421" t="s">
        <v>233</v>
      </c>
      <c r="D182" s="419"/>
      <c r="E182" s="419"/>
      <c r="F182" s="419"/>
      <c r="G182" s="419"/>
      <c r="H182" s="420"/>
      <c r="I182" s="421">
        <f>I179+I181</f>
        <v>63523.01</v>
      </c>
      <c r="J182" s="420"/>
    </row>
    <row r="183" spans="3:10" ht="15" customHeight="1">
      <c r="C183" s="421" t="s">
        <v>51</v>
      </c>
      <c r="D183" s="419"/>
      <c r="E183" s="419"/>
      <c r="F183" s="419"/>
      <c r="G183" s="419"/>
      <c r="H183" s="420"/>
      <c r="I183" s="421">
        <v>1</v>
      </c>
      <c r="J183" s="420"/>
    </row>
    <row r="184" spans="3:10" ht="15" customHeight="1">
      <c r="C184" s="421" t="s">
        <v>52</v>
      </c>
      <c r="D184" s="419"/>
      <c r="E184" s="419"/>
      <c r="F184" s="419"/>
      <c r="G184" s="419"/>
      <c r="H184" s="420"/>
      <c r="I184" s="421">
        <f>I182/I183</f>
        <v>63523.01</v>
      </c>
      <c r="J184" s="420"/>
    </row>
    <row r="185" ht="15" customHeight="1"/>
    <row r="186" ht="15" customHeight="1"/>
    <row r="187" ht="15" customHeight="1"/>
    <row r="188" ht="15" customHeight="1"/>
  </sheetData>
  <sheetProtection/>
  <mergeCells count="83">
    <mergeCell ref="C179:H179"/>
    <mergeCell ref="C176:H176"/>
    <mergeCell ref="C177:H177"/>
    <mergeCell ref="C143:E143"/>
    <mergeCell ref="C144:E144"/>
    <mergeCell ref="N109:O109"/>
    <mergeCell ref="C152:F152"/>
    <mergeCell ref="J152:K152"/>
    <mergeCell ref="I179:J179"/>
    <mergeCell ref="C142:E142"/>
    <mergeCell ref="N91:O91"/>
    <mergeCell ref="C184:H184"/>
    <mergeCell ref="I184:J184"/>
    <mergeCell ref="C173:I173"/>
    <mergeCell ref="C174:H174"/>
    <mergeCell ref="C175:H175"/>
    <mergeCell ref="C156:I156"/>
    <mergeCell ref="C157:F157"/>
    <mergeCell ref="C182:H182"/>
    <mergeCell ref="I182:J182"/>
    <mergeCell ref="H28:I28"/>
    <mergeCell ref="J28:K28"/>
    <mergeCell ref="C30:I30"/>
    <mergeCell ref="C181:H181"/>
    <mergeCell ref="I181:J181"/>
    <mergeCell ref="C180:H180"/>
    <mergeCell ref="I180:J180"/>
    <mergeCell ref="H171:I171"/>
    <mergeCell ref="J30:K30"/>
    <mergeCell ref="C141:E141"/>
    <mergeCell ref="C6:G6"/>
    <mergeCell ref="C26:K26"/>
    <mergeCell ref="C27:F27"/>
    <mergeCell ref="H27:I27"/>
    <mergeCell ref="J27:K27"/>
    <mergeCell ref="J17:K17"/>
    <mergeCell ref="C16:F16"/>
    <mergeCell ref="J16:K16"/>
    <mergeCell ref="H18:I18"/>
    <mergeCell ref="C3:D3"/>
    <mergeCell ref="H16:I16"/>
    <mergeCell ref="J22:K22"/>
    <mergeCell ref="H6:I6"/>
    <mergeCell ref="H21:I21"/>
    <mergeCell ref="C18:F18"/>
    <mergeCell ref="H17:I17"/>
    <mergeCell ref="J18:K18"/>
    <mergeCell ref="H22:I22"/>
    <mergeCell ref="J150:K150"/>
    <mergeCell ref="J151:K151"/>
    <mergeCell ref="J153:K153"/>
    <mergeCell ref="C86:I86"/>
    <mergeCell ref="C29:I29"/>
    <mergeCell ref="J29:K29"/>
    <mergeCell ref="C104:I104"/>
    <mergeCell ref="J21:K21"/>
    <mergeCell ref="C22:F22"/>
    <mergeCell ref="C19:F19"/>
    <mergeCell ref="C20:F20"/>
    <mergeCell ref="J20:K20"/>
    <mergeCell ref="C21:F21"/>
    <mergeCell ref="C1:K1"/>
    <mergeCell ref="E3:K3"/>
    <mergeCell ref="C183:H183"/>
    <mergeCell ref="I183:J183"/>
    <mergeCell ref="C151:F151"/>
    <mergeCell ref="H150:I150"/>
    <mergeCell ref="C150:F150"/>
    <mergeCell ref="C140:I140"/>
    <mergeCell ref="G141:H141"/>
    <mergeCell ref="C145:E145"/>
    <mergeCell ref="C5:I5"/>
    <mergeCell ref="C15:K15"/>
    <mergeCell ref="C68:I68"/>
    <mergeCell ref="H20:I20"/>
    <mergeCell ref="J24:K24"/>
    <mergeCell ref="C23:I23"/>
    <mergeCell ref="J19:K19"/>
    <mergeCell ref="J23:K23"/>
    <mergeCell ref="C24:I24"/>
    <mergeCell ref="H19:I19"/>
  </mergeCells>
  <printOptions horizontalCentered="1"/>
  <pageMargins left="0.35433070866141736" right="0.31496062992125984" top="0.2362204724409449" bottom="1.0236220472440944" header="0.5118110236220472" footer="0.4724409448818898"/>
  <pageSetup horizontalDpi="600" verticalDpi="600" orientation="portrait" paperSize="9" scale="78" r:id="rId1"/>
  <rowBreaks count="1" manualBreakCount="1">
    <brk id="139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="110" zoomScaleSheetLayoutView="110" zoomScalePageLayoutView="0" workbookViewId="0" topLeftCell="A19">
      <selection activeCell="B3" sqref="B3"/>
    </sheetView>
  </sheetViews>
  <sheetFormatPr defaultColWidth="8.7109375" defaultRowHeight="12.75"/>
  <cols>
    <col min="1" max="1" width="4.7109375" style="268" customWidth="1"/>
    <col min="2" max="2" width="71.28125" style="269" bestFit="1" customWidth="1"/>
    <col min="3" max="3" width="12.140625" style="269" customWidth="1"/>
    <col min="4" max="15" width="8.7109375" style="268" customWidth="1"/>
    <col min="16" max="16" width="7.7109375" style="268" customWidth="1"/>
    <col min="17" max="16384" width="8.7109375" style="268" customWidth="1"/>
  </cols>
  <sheetData>
    <row r="1" spans="2:3" ht="47.25" customHeight="1">
      <c r="B1" s="573" t="s">
        <v>434</v>
      </c>
      <c r="C1" s="574"/>
    </row>
    <row r="2" spans="1:4" ht="12.75" customHeight="1">
      <c r="A2" s="269"/>
      <c r="B2" s="270"/>
      <c r="C2" s="271"/>
      <c r="D2" s="269"/>
    </row>
    <row r="3" spans="1:4" ht="18" customHeight="1">
      <c r="A3" s="269"/>
      <c r="B3" s="272" t="s">
        <v>20</v>
      </c>
      <c r="C3" s="273"/>
      <c r="D3" s="269"/>
    </row>
    <row r="4" spans="1:4" ht="84.75" customHeight="1">
      <c r="A4" s="269"/>
      <c r="B4" s="289" t="s">
        <v>429</v>
      </c>
      <c r="C4" s="275">
        <v>0.2</v>
      </c>
      <c r="D4" s="269"/>
    </row>
    <row r="5" spans="1:4" ht="35.25" customHeight="1">
      <c r="A5" s="269"/>
      <c r="B5" s="274" t="s">
        <v>18</v>
      </c>
      <c r="C5" s="275">
        <v>0.08</v>
      </c>
      <c r="D5" s="269"/>
    </row>
    <row r="6" spans="1:4" ht="18" customHeight="1">
      <c r="A6" s="269"/>
      <c r="B6" s="274" t="s">
        <v>4</v>
      </c>
      <c r="C6" s="275">
        <v>0.012</v>
      </c>
      <c r="D6" s="269"/>
    </row>
    <row r="7" spans="1:4" ht="18" customHeight="1">
      <c r="A7" s="269"/>
      <c r="B7" s="276" t="s">
        <v>3</v>
      </c>
      <c r="C7" s="277">
        <v>0.015</v>
      </c>
      <c r="D7" s="269"/>
    </row>
    <row r="8" spans="1:4" ht="18" customHeight="1">
      <c r="A8" s="269"/>
      <c r="B8" s="274" t="s">
        <v>7</v>
      </c>
      <c r="C8" s="275">
        <v>0.002</v>
      </c>
      <c r="D8" s="269"/>
    </row>
    <row r="9" spans="1:4" ht="18" customHeight="1">
      <c r="A9" s="269"/>
      <c r="B9" s="274" t="s">
        <v>6</v>
      </c>
      <c r="C9" s="275">
        <v>0.025</v>
      </c>
      <c r="D9" s="269"/>
    </row>
    <row r="10" spans="1:4" ht="18" customHeight="1">
      <c r="A10" s="269"/>
      <c r="B10" s="274" t="s">
        <v>91</v>
      </c>
      <c r="C10" s="275">
        <v>0.03</v>
      </c>
      <c r="D10" s="269"/>
    </row>
    <row r="11" spans="1:4" ht="18" customHeight="1">
      <c r="A11" s="269"/>
      <c r="B11" s="274" t="s">
        <v>96</v>
      </c>
      <c r="C11" s="275">
        <v>0</v>
      </c>
      <c r="D11" s="269"/>
    </row>
    <row r="12" spans="1:4" ht="18" customHeight="1">
      <c r="A12" s="269"/>
      <c r="B12" s="274" t="s">
        <v>8</v>
      </c>
      <c r="C12" s="275">
        <v>0.006</v>
      </c>
      <c r="D12" s="269"/>
    </row>
    <row r="13" spans="1:4" ht="18" customHeight="1">
      <c r="A13" s="269"/>
      <c r="B13" s="274" t="s">
        <v>23</v>
      </c>
      <c r="C13" s="275">
        <v>0.01</v>
      </c>
      <c r="D13" s="269"/>
    </row>
    <row r="14" spans="1:4" ht="18" customHeight="1">
      <c r="A14" s="269"/>
      <c r="B14" s="274" t="s">
        <v>19</v>
      </c>
      <c r="C14" s="275">
        <v>0</v>
      </c>
      <c r="D14" s="269"/>
    </row>
    <row r="15" spans="1:4" ht="18" customHeight="1">
      <c r="A15" s="269"/>
      <c r="B15" s="278" t="s">
        <v>21</v>
      </c>
      <c r="C15" s="279">
        <f>ROUND(SUM(C4:C14),4)</f>
        <v>0.38</v>
      </c>
      <c r="D15" s="269"/>
    </row>
    <row r="16" spans="1:4" ht="18" customHeight="1">
      <c r="A16" s="269"/>
      <c r="B16" s="280"/>
      <c r="C16" s="281"/>
      <c r="D16" s="269"/>
    </row>
    <row r="17" spans="1:4" ht="18" customHeight="1">
      <c r="A17" s="269"/>
      <c r="B17" s="569" t="s">
        <v>22</v>
      </c>
      <c r="C17" s="570"/>
      <c r="D17" s="269"/>
    </row>
    <row r="18" spans="1:4" ht="18" customHeight="1">
      <c r="A18" s="269"/>
      <c r="B18" s="274" t="s">
        <v>92</v>
      </c>
      <c r="C18" s="275">
        <v>0.1111</v>
      </c>
      <c r="D18" s="269"/>
    </row>
    <row r="19" spans="1:4" ht="18" customHeight="1">
      <c r="A19" s="269"/>
      <c r="B19" s="274" t="s">
        <v>15</v>
      </c>
      <c r="C19" s="275">
        <v>0.0833</v>
      </c>
      <c r="D19" s="269"/>
    </row>
    <row r="20" spans="1:4" ht="18" customHeight="1">
      <c r="A20" s="269"/>
      <c r="B20" s="274" t="s">
        <v>94</v>
      </c>
      <c r="C20" s="275">
        <v>0.0003</v>
      </c>
      <c r="D20" s="269"/>
    </row>
    <row r="21" spans="1:4" ht="18" customHeight="1">
      <c r="A21" s="269"/>
      <c r="B21" s="274" t="s">
        <v>179</v>
      </c>
      <c r="C21" s="275">
        <v>0.0139</v>
      </c>
      <c r="D21" s="269"/>
    </row>
    <row r="22" spans="1:4" ht="18" customHeight="1">
      <c r="A22" s="269"/>
      <c r="B22" s="274" t="s">
        <v>93</v>
      </c>
      <c r="C22" s="275">
        <v>0.0028</v>
      </c>
      <c r="D22" s="269"/>
    </row>
    <row r="23" spans="1:4" ht="18" customHeight="1">
      <c r="A23" s="269"/>
      <c r="B23" s="282" t="s">
        <v>55</v>
      </c>
      <c r="C23" s="283">
        <v>0.02</v>
      </c>
      <c r="D23" s="269"/>
    </row>
    <row r="24" spans="1:4" ht="18" customHeight="1">
      <c r="A24" s="269"/>
      <c r="B24" s="274" t="s">
        <v>180</v>
      </c>
      <c r="C24" s="275">
        <v>0.0003</v>
      </c>
      <c r="D24" s="269"/>
    </row>
    <row r="25" spans="1:4" ht="18" customHeight="1">
      <c r="A25" s="269"/>
      <c r="B25" s="274" t="s">
        <v>56</v>
      </c>
      <c r="C25" s="275">
        <v>0.0002</v>
      </c>
      <c r="D25" s="269"/>
    </row>
    <row r="26" spans="1:4" ht="18" customHeight="1">
      <c r="A26" s="269"/>
      <c r="B26" s="278" t="s">
        <v>24</v>
      </c>
      <c r="C26" s="279">
        <f>SUM(C18:C25)</f>
        <v>0.2319</v>
      </c>
      <c r="D26" s="269"/>
    </row>
    <row r="27" spans="1:4" ht="18" customHeight="1">
      <c r="A27" s="269"/>
      <c r="B27" s="280"/>
      <c r="C27" s="281"/>
      <c r="D27" s="269"/>
    </row>
    <row r="28" spans="1:4" ht="18" customHeight="1">
      <c r="A28" s="269"/>
      <c r="B28" s="272" t="s">
        <v>25</v>
      </c>
      <c r="C28" s="275"/>
      <c r="D28" s="269"/>
    </row>
    <row r="29" spans="1:4" ht="18" customHeight="1">
      <c r="A29" s="269"/>
      <c r="B29" s="274" t="s">
        <v>181</v>
      </c>
      <c r="C29" s="275">
        <v>0.04</v>
      </c>
      <c r="D29" s="269"/>
    </row>
    <row r="30" spans="1:4" ht="18" customHeight="1">
      <c r="A30" s="269"/>
      <c r="B30" s="274" t="s">
        <v>182</v>
      </c>
      <c r="C30" s="275">
        <v>0.002</v>
      </c>
      <c r="D30" s="269"/>
    </row>
    <row r="31" spans="1:4" ht="18" customHeight="1">
      <c r="A31" s="269"/>
      <c r="B31" s="282" t="s">
        <v>183</v>
      </c>
      <c r="C31" s="283">
        <v>0.0008</v>
      </c>
      <c r="D31" s="269"/>
    </row>
    <row r="32" spans="1:4" ht="18" customHeight="1">
      <c r="A32" s="269"/>
      <c r="B32" s="274" t="s">
        <v>184</v>
      </c>
      <c r="C32" s="275">
        <v>0.0329</v>
      </c>
      <c r="D32" s="269"/>
    </row>
    <row r="33" spans="1:4" ht="18" customHeight="1">
      <c r="A33" s="269"/>
      <c r="B33" s="278" t="s">
        <v>26</v>
      </c>
      <c r="C33" s="279">
        <f>SUM(C29:C32)</f>
        <v>0.0757</v>
      </c>
      <c r="D33" s="269"/>
    </row>
    <row r="34" spans="1:4" ht="18" customHeight="1">
      <c r="A34" s="269"/>
      <c r="B34" s="280"/>
      <c r="C34" s="284"/>
      <c r="D34" s="269"/>
    </row>
    <row r="35" spans="1:4" ht="18" customHeight="1">
      <c r="A35" s="269"/>
      <c r="B35" s="272" t="s">
        <v>27</v>
      </c>
      <c r="C35" s="275"/>
      <c r="D35" s="269"/>
    </row>
    <row r="36" spans="1:4" ht="18" customHeight="1">
      <c r="A36" s="269"/>
      <c r="B36" s="285" t="s">
        <v>28</v>
      </c>
      <c r="C36" s="275">
        <f>C15*C26</f>
        <v>0.0881</v>
      </c>
      <c r="D36" s="269"/>
    </row>
    <row r="37" spans="1:4" ht="18" customHeight="1">
      <c r="A37" s="269"/>
      <c r="B37" s="278" t="s">
        <v>29</v>
      </c>
      <c r="C37" s="279">
        <f>ROUND(C36,4)</f>
        <v>0.0881</v>
      </c>
      <c r="D37" s="269"/>
    </row>
    <row r="38" spans="1:4" ht="18" customHeight="1">
      <c r="A38" s="269"/>
      <c r="B38" s="286"/>
      <c r="C38" s="283"/>
      <c r="D38" s="269"/>
    </row>
    <row r="39" spans="1:7" ht="18" customHeight="1">
      <c r="A39" s="269"/>
      <c r="B39" s="571" t="s">
        <v>30</v>
      </c>
      <c r="C39" s="572"/>
      <c r="D39" s="269"/>
      <c r="G39" s="268">
        <f>Insumos!D13</f>
        <v>9696</v>
      </c>
    </row>
    <row r="40" spans="1:4" ht="18" customHeight="1">
      <c r="A40" s="269"/>
      <c r="B40" s="274" t="s">
        <v>31</v>
      </c>
      <c r="C40" s="275">
        <v>0.0003</v>
      </c>
      <c r="D40" s="269"/>
    </row>
    <row r="41" spans="1:4" ht="18" customHeight="1">
      <c r="A41" s="269"/>
      <c r="B41" s="278" t="s">
        <v>32</v>
      </c>
      <c r="C41" s="279">
        <f>ROUND(C40,4)</f>
        <v>0.0003</v>
      </c>
      <c r="D41" s="269"/>
    </row>
    <row r="42" spans="1:4" ht="13.5" customHeight="1">
      <c r="A42" s="269"/>
      <c r="B42" s="286"/>
      <c r="C42" s="283"/>
      <c r="D42" s="269"/>
    </row>
    <row r="43" spans="1:5" ht="26.25" customHeight="1">
      <c r="A43" s="269"/>
      <c r="B43" s="278" t="s">
        <v>33</v>
      </c>
      <c r="C43" s="287">
        <f>C15+C26+C33+C37+C41</f>
        <v>0.776</v>
      </c>
      <c r="D43" s="269"/>
      <c r="E43" s="268">
        <v>84.69</v>
      </c>
    </row>
    <row r="44" spans="1:4" ht="18" customHeight="1">
      <c r="A44" s="269"/>
      <c r="B44" s="288" t="s">
        <v>57</v>
      </c>
      <c r="D44" s="269"/>
    </row>
    <row r="45" spans="1:4" ht="19.5" customHeight="1">
      <c r="A45" s="269"/>
      <c r="D45" s="269"/>
    </row>
    <row r="46" spans="1:4" ht="19.5" customHeight="1">
      <c r="A46" s="269"/>
      <c r="D46" s="269"/>
    </row>
    <row r="47" spans="1:4" ht="19.5" customHeight="1">
      <c r="A47" s="269"/>
      <c r="D47" s="269"/>
    </row>
    <row r="48" spans="1:4" ht="19.5" customHeight="1">
      <c r="A48" s="269"/>
      <c r="D48" s="269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</sheetData>
  <sheetProtection/>
  <mergeCells count="3">
    <mergeCell ref="B17:C17"/>
    <mergeCell ref="B39:C39"/>
    <mergeCell ref="B1:C1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10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="115" zoomScaleSheetLayoutView="115" zoomScalePageLayoutView="0" workbookViewId="0" topLeftCell="A1">
      <selection activeCell="H66" sqref="H66"/>
    </sheetView>
  </sheetViews>
  <sheetFormatPr defaultColWidth="9.140625" defaultRowHeight="12.75"/>
  <cols>
    <col min="1" max="1" width="55.140625" style="290" customWidth="1"/>
    <col min="2" max="2" width="19.7109375" style="290" customWidth="1"/>
    <col min="3" max="16384" width="9.140625" style="290" customWidth="1"/>
  </cols>
  <sheetData>
    <row r="1" spans="1:2" ht="15.75" customHeight="1">
      <c r="A1" s="583" t="s">
        <v>305</v>
      </c>
      <c r="B1" s="583"/>
    </row>
    <row r="2" spans="1:2" ht="35.25" customHeight="1">
      <c r="A2" s="584"/>
      <c r="B2" s="584"/>
    </row>
    <row r="3" spans="1:2" ht="15.75">
      <c r="A3" s="575" t="s">
        <v>306</v>
      </c>
      <c r="B3" s="576"/>
    </row>
    <row r="4" spans="1:2" ht="70.5" customHeight="1">
      <c r="A4" s="581" t="s">
        <v>429</v>
      </c>
      <c r="B4" s="582"/>
    </row>
    <row r="5" spans="1:4" ht="35.25" customHeight="1">
      <c r="A5" s="291" t="s">
        <v>185</v>
      </c>
      <c r="B5" s="292">
        <v>0.05</v>
      </c>
      <c r="D5" s="293">
        <f>1+B5+B6+B7</f>
        <v>1.0628</v>
      </c>
    </row>
    <row r="6" spans="1:4" ht="15.75">
      <c r="A6" s="294" t="s">
        <v>186</v>
      </c>
      <c r="B6" s="292">
        <v>0.0028</v>
      </c>
      <c r="D6" s="293">
        <f>1+B8</f>
        <v>1.0094</v>
      </c>
    </row>
    <row r="7" spans="1:4" ht="15.75">
      <c r="A7" s="294" t="s">
        <v>187</v>
      </c>
      <c r="B7" s="295">
        <v>0.01</v>
      </c>
      <c r="D7" s="293">
        <f>1+B9</f>
        <v>1.08</v>
      </c>
    </row>
    <row r="8" spans="1:4" ht="15.75">
      <c r="A8" s="291" t="s">
        <v>188</v>
      </c>
      <c r="B8" s="296">
        <v>0.0094</v>
      </c>
      <c r="D8" s="293">
        <f>1-B11-B12-B13</f>
        <v>0.8575</v>
      </c>
    </row>
    <row r="9" spans="1:4" ht="15.75">
      <c r="A9" s="297" t="s">
        <v>189</v>
      </c>
      <c r="B9" s="298">
        <v>0.08</v>
      </c>
      <c r="D9" s="299"/>
    </row>
    <row r="10" spans="1:2" ht="15.75">
      <c r="A10" s="577" t="s">
        <v>307</v>
      </c>
      <c r="B10" s="578"/>
    </row>
    <row r="11" spans="1:2" ht="15.75">
      <c r="A11" s="300" t="s">
        <v>190</v>
      </c>
      <c r="B11" s="301">
        <v>0.076</v>
      </c>
    </row>
    <row r="12" spans="1:2" ht="15.75">
      <c r="A12" s="302" t="s">
        <v>191</v>
      </c>
      <c r="B12" s="301">
        <v>0.0165</v>
      </c>
    </row>
    <row r="13" spans="1:2" ht="15.75">
      <c r="A13" s="303" t="s">
        <v>192</v>
      </c>
      <c r="B13" s="304">
        <v>0.05</v>
      </c>
    </row>
    <row r="14" spans="1:2" ht="15.75">
      <c r="A14" s="305" t="s">
        <v>193</v>
      </c>
      <c r="B14" s="306">
        <f>(D5*D6*D7/D8)-1</f>
        <v>0.3512</v>
      </c>
    </row>
    <row r="15" spans="1:2" ht="15.75">
      <c r="A15" s="307"/>
      <c r="B15" s="308"/>
    </row>
    <row r="16" spans="1:2" ht="12.75">
      <c r="A16" s="579"/>
      <c r="B16" s="580"/>
    </row>
    <row r="17" spans="1:2" ht="15.75">
      <c r="A17" s="309"/>
      <c r="B17" s="310"/>
    </row>
    <row r="18" spans="1:2" ht="15.75">
      <c r="A18" s="309"/>
      <c r="B18" s="310"/>
    </row>
    <row r="19" spans="1:2" ht="15.75">
      <c r="A19" s="309"/>
      <c r="B19" s="310"/>
    </row>
    <row r="20" spans="1:2" ht="15.75">
      <c r="A20" s="309"/>
      <c r="B20" s="310"/>
    </row>
    <row r="21" spans="1:2" ht="15.75">
      <c r="A21" s="309"/>
      <c r="B21" s="310"/>
    </row>
    <row r="22" spans="1:2" ht="15.75">
      <c r="A22" s="309"/>
      <c r="B22" s="310"/>
    </row>
    <row r="23" spans="1:2" ht="15.75">
      <c r="A23" s="309"/>
      <c r="B23" s="310"/>
    </row>
    <row r="24" spans="1:2" ht="15.75">
      <c r="A24" s="309"/>
      <c r="B24" s="310"/>
    </row>
    <row r="25" spans="1:2" ht="15.75">
      <c r="A25" s="309"/>
      <c r="B25" s="310"/>
    </row>
    <row r="26" spans="1:2" ht="15.75">
      <c r="A26" s="309"/>
      <c r="B26" s="310"/>
    </row>
    <row r="27" spans="1:2" ht="15.75">
      <c r="A27" s="309"/>
      <c r="B27" s="310"/>
    </row>
    <row r="28" spans="1:2" ht="15.75">
      <c r="A28" s="309"/>
      <c r="B28" s="310"/>
    </row>
    <row r="29" spans="1:2" ht="15.75">
      <c r="A29" s="309"/>
      <c r="B29" s="310"/>
    </row>
    <row r="30" spans="1:2" ht="15.75">
      <c r="A30" s="309"/>
      <c r="B30" s="310"/>
    </row>
    <row r="31" spans="1:2" ht="15.75">
      <c r="A31" s="309"/>
      <c r="B31" s="310"/>
    </row>
    <row r="32" ht="12.75"/>
    <row r="33" ht="12.75"/>
    <row r="34" ht="12.75"/>
    <row r="35" ht="12.75"/>
    <row r="36" ht="12.75"/>
    <row r="39" ht="12.75">
      <c r="G39" s="290">
        <f>Insumos!D13</f>
        <v>9696</v>
      </c>
    </row>
  </sheetData>
  <sheetProtection/>
  <mergeCells count="5">
    <mergeCell ref="A3:B3"/>
    <mergeCell ref="A10:B10"/>
    <mergeCell ref="A16:B16"/>
    <mergeCell ref="A4:B4"/>
    <mergeCell ref="A1:B2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11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AD109"/>
  <sheetViews>
    <sheetView showGridLines="0" view="pageBreakPreview" zoomScale="93" zoomScaleNormal="75" zoomScaleSheetLayoutView="93" zoomScalePageLayoutView="0" workbookViewId="0" topLeftCell="A22">
      <selection activeCell="D89" sqref="D89"/>
    </sheetView>
  </sheetViews>
  <sheetFormatPr defaultColWidth="8.7109375" defaultRowHeight="19.5" customHeight="1"/>
  <cols>
    <col min="1" max="1" width="1.8515625" style="311" customWidth="1"/>
    <col min="2" max="2" width="2.7109375" style="311" customWidth="1"/>
    <col min="3" max="3" width="82.7109375" style="311" customWidth="1"/>
    <col min="4" max="4" width="23.57421875" style="312" customWidth="1"/>
    <col min="5" max="5" width="3.7109375" style="311" customWidth="1"/>
    <col min="6" max="6" width="12.8515625" style="312" customWidth="1"/>
    <col min="7" max="7" width="8.7109375" style="311" customWidth="1"/>
    <col min="8" max="8" width="13.57421875" style="312" customWidth="1"/>
    <col min="9" max="9" width="8.7109375" style="311" customWidth="1"/>
    <col min="10" max="10" width="6.00390625" style="312" customWidth="1"/>
    <col min="11" max="11" width="2.7109375" style="312" customWidth="1"/>
    <col min="12" max="12" width="2.28125" style="311" customWidth="1"/>
    <col min="13" max="14" width="8.7109375" style="311" customWidth="1"/>
    <col min="15" max="15" width="6.421875" style="311" customWidth="1"/>
    <col min="16" max="16" width="13.421875" style="311" customWidth="1"/>
    <col min="17" max="17" width="12.28125" style="311" customWidth="1"/>
    <col min="18" max="18" width="6.57421875" style="311" customWidth="1"/>
    <col min="19" max="19" width="15.7109375" style="311" customWidth="1"/>
    <col min="20" max="20" width="23.28125" style="311" customWidth="1"/>
    <col min="21" max="16384" width="8.7109375" style="311" customWidth="1"/>
  </cols>
  <sheetData>
    <row r="1" spans="3:4" ht="19.5" customHeight="1">
      <c r="C1" s="593" t="s">
        <v>116</v>
      </c>
      <c r="D1" s="594"/>
    </row>
    <row r="2" spans="3:4" ht="36.75" customHeight="1">
      <c r="C2" s="595"/>
      <c r="D2" s="596"/>
    </row>
    <row r="3" spans="3:22" s="314" customFormat="1" ht="22.5" customHeight="1">
      <c r="C3" s="589" t="s">
        <v>98</v>
      </c>
      <c r="D3" s="590"/>
      <c r="L3" s="315"/>
      <c r="M3" s="214"/>
      <c r="N3" s="214"/>
      <c r="O3" s="214"/>
      <c r="P3" s="214"/>
      <c r="Q3" s="214"/>
      <c r="R3" s="214"/>
      <c r="S3" s="214"/>
      <c r="T3" s="315"/>
      <c r="U3" s="315"/>
      <c r="V3" s="315"/>
    </row>
    <row r="4" spans="3:22" s="314" customFormat="1" ht="22.5" customHeight="1">
      <c r="C4" s="316" t="s">
        <v>252</v>
      </c>
      <c r="D4" s="313"/>
      <c r="L4" s="315"/>
      <c r="M4" s="214"/>
      <c r="N4" s="214"/>
      <c r="O4" s="214"/>
      <c r="P4" s="214"/>
      <c r="Q4" s="214"/>
      <c r="R4" s="214"/>
      <c r="S4" s="214"/>
      <c r="T4" s="315"/>
      <c r="U4" s="315"/>
      <c r="V4" s="315"/>
    </row>
    <row r="5" spans="3:22" ht="19.5" customHeight="1">
      <c r="C5" s="317" t="s">
        <v>99</v>
      </c>
      <c r="D5" s="318" t="s">
        <v>100</v>
      </c>
      <c r="E5" s="319"/>
      <c r="L5" s="214"/>
      <c r="T5" s="214"/>
      <c r="U5" s="214"/>
      <c r="V5" s="214"/>
    </row>
    <row r="6" spans="3:20" ht="19.5" customHeight="1">
      <c r="C6" s="320" t="s">
        <v>223</v>
      </c>
      <c r="D6" s="321">
        <v>2000</v>
      </c>
      <c r="F6" s="214"/>
      <c r="G6" s="214"/>
      <c r="L6" s="214"/>
      <c r="T6" s="214"/>
    </row>
    <row r="7" spans="3:20" ht="19.5" customHeight="1">
      <c r="C7" s="320" t="s">
        <v>156</v>
      </c>
      <c r="D7" s="321">
        <v>1252.68</v>
      </c>
      <c r="F7" s="214"/>
      <c r="G7" s="214"/>
      <c r="L7" s="214"/>
      <c r="T7" s="214"/>
    </row>
    <row r="8" spans="3:20" ht="19.5" customHeight="1">
      <c r="C8" s="320" t="s">
        <v>224</v>
      </c>
      <c r="D8" s="321">
        <f>D7</f>
        <v>1252.68</v>
      </c>
      <c r="F8" s="315"/>
      <c r="G8" s="315"/>
      <c r="L8" s="214"/>
      <c r="T8" s="214"/>
    </row>
    <row r="9" spans="3:20" s="314" customFormat="1" ht="19.5" customHeight="1">
      <c r="C9" s="320" t="s">
        <v>225</v>
      </c>
      <c r="D9" s="321">
        <f>D8</f>
        <v>1252.68</v>
      </c>
      <c r="F9" s="214"/>
      <c r="G9" s="214"/>
      <c r="L9" s="315"/>
      <c r="T9" s="315"/>
    </row>
    <row r="10" spans="3:20" ht="19.5" customHeight="1">
      <c r="C10" s="320" t="s">
        <v>226</v>
      </c>
      <c r="D10" s="321">
        <v>1920.71</v>
      </c>
      <c r="L10" s="214"/>
      <c r="T10" s="214"/>
    </row>
    <row r="11" spans="3:20" ht="19.5" customHeight="1">
      <c r="C11" s="320" t="s">
        <v>227</v>
      </c>
      <c r="D11" s="321">
        <v>1252.68</v>
      </c>
      <c r="L11" s="214"/>
      <c r="T11" s="214"/>
    </row>
    <row r="12" spans="3:20" ht="19.5" customHeight="1">
      <c r="C12" s="320" t="s">
        <v>228</v>
      </c>
      <c r="D12" s="321">
        <v>1252.68</v>
      </c>
      <c r="L12" s="214"/>
      <c r="T12" s="214"/>
    </row>
    <row r="13" spans="3:20" ht="19.5" customHeight="1">
      <c r="C13" s="320" t="s">
        <v>229</v>
      </c>
      <c r="D13" s="321">
        <f>8*D19</f>
        <v>9696</v>
      </c>
      <c r="L13" s="214"/>
      <c r="T13" s="214"/>
    </row>
    <row r="14" spans="3:20" ht="19.5" customHeight="1">
      <c r="C14" s="320" t="s">
        <v>101</v>
      </c>
      <c r="D14" s="321">
        <v>2000</v>
      </c>
      <c r="L14" s="214"/>
      <c r="T14" s="214"/>
    </row>
    <row r="15" spans="3:20" ht="19.5" customHeight="1">
      <c r="C15" s="320" t="s">
        <v>67</v>
      </c>
      <c r="D15" s="321">
        <v>1500.05</v>
      </c>
      <c r="L15" s="214"/>
      <c r="T15" s="214"/>
    </row>
    <row r="16" spans="3:20" ht="19.5" customHeight="1" hidden="1">
      <c r="C16" s="320" t="s">
        <v>194</v>
      </c>
      <c r="D16" s="321">
        <v>1138.02</v>
      </c>
      <c r="F16" s="214"/>
      <c r="G16" s="214"/>
      <c r="K16" s="213"/>
      <c r="L16" s="214"/>
      <c r="T16" s="214"/>
    </row>
    <row r="17" spans="3:20" ht="19.5" customHeight="1" hidden="1">
      <c r="C17" s="320" t="s">
        <v>66</v>
      </c>
      <c r="D17" s="321">
        <f>D16</f>
        <v>1138.02</v>
      </c>
      <c r="F17" s="214"/>
      <c r="G17" s="214"/>
      <c r="K17" s="213"/>
      <c r="L17" s="214"/>
      <c r="T17" s="214"/>
    </row>
    <row r="18" spans="3:20" ht="19.5" customHeight="1">
      <c r="C18" s="322" t="s">
        <v>195</v>
      </c>
      <c r="D18" s="323">
        <v>1252.68</v>
      </c>
      <c r="F18" s="214"/>
      <c r="G18" s="214"/>
      <c r="K18" s="213"/>
      <c r="L18" s="214"/>
      <c r="T18" s="214"/>
    </row>
    <row r="19" spans="3:30" ht="19.5" customHeight="1">
      <c r="C19" s="320" t="s">
        <v>102</v>
      </c>
      <c r="D19" s="321">
        <v>1212</v>
      </c>
      <c r="K19" s="213"/>
      <c r="L19" s="214"/>
      <c r="T19" s="214"/>
      <c r="U19" s="214"/>
      <c r="V19" s="214"/>
      <c r="Z19" s="214"/>
      <c r="AA19" s="213"/>
      <c r="AB19" s="214"/>
      <c r="AC19" s="213"/>
      <c r="AD19" s="214"/>
    </row>
    <row r="20" spans="3:30" ht="19.5" customHeight="1">
      <c r="C20" s="324"/>
      <c r="D20" s="325"/>
      <c r="K20" s="213"/>
      <c r="L20" s="214"/>
      <c r="T20" s="214"/>
      <c r="U20" s="214"/>
      <c r="V20" s="214"/>
      <c r="Z20" s="214"/>
      <c r="AA20" s="213"/>
      <c r="AB20" s="214"/>
      <c r="AC20" s="213"/>
      <c r="AD20" s="214"/>
    </row>
    <row r="21" spans="3:30" ht="12" customHeight="1">
      <c r="C21" s="324"/>
      <c r="D21" s="325"/>
      <c r="K21" s="213"/>
      <c r="L21" s="214"/>
      <c r="T21" s="214"/>
      <c r="U21" s="214"/>
      <c r="V21" s="214"/>
      <c r="Z21" s="214"/>
      <c r="AA21" s="213"/>
      <c r="AB21" s="214"/>
      <c r="AC21" s="213"/>
      <c r="AD21" s="214"/>
    </row>
    <row r="22" spans="3:4" ht="19.5" customHeight="1">
      <c r="C22" s="597" t="s">
        <v>104</v>
      </c>
      <c r="D22" s="597"/>
    </row>
    <row r="23" spans="3:4" ht="19.5" customHeight="1">
      <c r="C23" s="317" t="s">
        <v>12</v>
      </c>
      <c r="D23" s="326" t="s">
        <v>103</v>
      </c>
    </row>
    <row r="24" spans="3:4" ht="19.5" customHeight="1">
      <c r="C24" s="327" t="s">
        <v>105</v>
      </c>
      <c r="D24" s="323">
        <v>90</v>
      </c>
    </row>
    <row r="25" spans="3:4" ht="19.5" customHeight="1">
      <c r="C25" s="327" t="s">
        <v>106</v>
      </c>
      <c r="D25" s="323">
        <v>200</v>
      </c>
    </row>
    <row r="26" spans="3:4" ht="19.5" customHeight="1" hidden="1">
      <c r="C26" s="327" t="s">
        <v>196</v>
      </c>
      <c r="D26" s="328">
        <v>120</v>
      </c>
    </row>
    <row r="27" spans="3:4" ht="19.5" customHeight="1" hidden="1">
      <c r="C27" s="327" t="s">
        <v>113</v>
      </c>
      <c r="D27" s="328">
        <v>2500</v>
      </c>
    </row>
    <row r="28" spans="3:4" ht="19.5" customHeight="1" hidden="1">
      <c r="C28" s="327" t="s">
        <v>114</v>
      </c>
      <c r="D28" s="328">
        <v>300</v>
      </c>
    </row>
    <row r="29" spans="3:4" ht="19.5" customHeight="1" hidden="1">
      <c r="C29" s="327" t="s">
        <v>115</v>
      </c>
      <c r="D29" s="328">
        <v>250</v>
      </c>
    </row>
    <row r="30" spans="3:4" ht="19.5" customHeight="1" hidden="1">
      <c r="C30" s="329"/>
      <c r="D30" s="330"/>
    </row>
    <row r="31" spans="3:4" ht="19.5" customHeight="1" hidden="1">
      <c r="C31" s="597" t="s">
        <v>107</v>
      </c>
      <c r="D31" s="597"/>
    </row>
    <row r="32" spans="3:4" ht="19.5" customHeight="1" hidden="1">
      <c r="C32" s="317" t="s">
        <v>12</v>
      </c>
      <c r="D32" s="326" t="s">
        <v>103</v>
      </c>
    </row>
    <row r="33" spans="3:6" ht="19.5" customHeight="1" hidden="1">
      <c r="C33" s="320" t="s">
        <v>108</v>
      </c>
      <c r="D33" s="328">
        <v>1900</v>
      </c>
      <c r="E33" s="331"/>
      <c r="F33" s="331"/>
    </row>
    <row r="34" spans="3:4" ht="19.5" customHeight="1" hidden="1">
      <c r="C34" s="320" t="s">
        <v>109</v>
      </c>
      <c r="D34" s="328">
        <f>D33*0.3</f>
        <v>570</v>
      </c>
    </row>
    <row r="35" spans="3:4" ht="19.5" customHeight="1">
      <c r="C35" s="329"/>
      <c r="D35" s="330"/>
    </row>
    <row r="36" spans="3:4" ht="19.5" customHeight="1" hidden="1">
      <c r="C36" s="591" t="s">
        <v>110</v>
      </c>
      <c r="D36" s="592"/>
    </row>
    <row r="37" spans="3:4" ht="19.5" customHeight="1" hidden="1">
      <c r="C37" s="317" t="s">
        <v>12</v>
      </c>
      <c r="D37" s="326" t="s">
        <v>103</v>
      </c>
    </row>
    <row r="38" spans="3:4" ht="19.5" customHeight="1" hidden="1">
      <c r="C38" s="332" t="s">
        <v>377</v>
      </c>
      <c r="D38" s="326"/>
    </row>
    <row r="39" spans="3:4" ht="19.5" customHeight="1" hidden="1">
      <c r="C39" s="332" t="s">
        <v>378</v>
      </c>
      <c r="D39" s="326"/>
    </row>
    <row r="40" spans="3:4" ht="19.5" customHeight="1" hidden="1">
      <c r="C40" s="332" t="s">
        <v>236</v>
      </c>
      <c r="D40" s="326"/>
    </row>
    <row r="41" spans="3:4" ht="19.5" customHeight="1" hidden="1">
      <c r="C41" s="332" t="s">
        <v>379</v>
      </c>
      <c r="D41" s="326"/>
    </row>
    <row r="42" spans="3:4" ht="19.5" customHeight="1" hidden="1">
      <c r="C42" s="332" t="s">
        <v>380</v>
      </c>
      <c r="D42" s="326"/>
    </row>
    <row r="43" spans="3:4" ht="19.5" customHeight="1" hidden="1">
      <c r="C43" s="332" t="s">
        <v>237</v>
      </c>
      <c r="D43" s="326"/>
    </row>
    <row r="44" spans="3:4" ht="19.5" customHeight="1" hidden="1">
      <c r="C44" s="332" t="s">
        <v>381</v>
      </c>
      <c r="D44" s="326"/>
    </row>
    <row r="45" spans="3:4" ht="19.5" customHeight="1" hidden="1">
      <c r="C45" s="332" t="s">
        <v>239</v>
      </c>
      <c r="D45" s="326"/>
    </row>
    <row r="46" spans="3:4" ht="19.5" customHeight="1" hidden="1">
      <c r="C46" s="332" t="s">
        <v>240</v>
      </c>
      <c r="D46" s="326"/>
    </row>
    <row r="47" spans="3:4" ht="19.5" customHeight="1" hidden="1">
      <c r="C47" s="332" t="s">
        <v>382</v>
      </c>
      <c r="D47" s="326"/>
    </row>
    <row r="48" spans="3:4" ht="19.5" customHeight="1" hidden="1">
      <c r="C48" s="332" t="s">
        <v>383</v>
      </c>
      <c r="D48" s="326"/>
    </row>
    <row r="49" spans="3:4" ht="19.5" customHeight="1" hidden="1">
      <c r="C49" s="332" t="s">
        <v>384</v>
      </c>
      <c r="D49" s="326"/>
    </row>
    <row r="50" spans="3:4" ht="19.5" customHeight="1" hidden="1">
      <c r="C50" s="332" t="s">
        <v>385</v>
      </c>
      <c r="D50" s="326"/>
    </row>
    <row r="51" spans="3:4" ht="19.5" customHeight="1" hidden="1">
      <c r="C51" s="332" t="s">
        <v>386</v>
      </c>
      <c r="D51" s="326"/>
    </row>
    <row r="52" spans="3:4" ht="19.5" customHeight="1" hidden="1">
      <c r="C52" s="332" t="s">
        <v>387</v>
      </c>
      <c r="D52" s="326"/>
    </row>
    <row r="53" spans="3:4" ht="19.5" customHeight="1" hidden="1">
      <c r="C53" s="332" t="s">
        <v>388</v>
      </c>
      <c r="D53" s="326"/>
    </row>
    <row r="54" spans="3:4" ht="19.5" customHeight="1" hidden="1">
      <c r="C54" s="332" t="s">
        <v>389</v>
      </c>
      <c r="D54" s="326"/>
    </row>
    <row r="55" spans="3:4" ht="19.5" customHeight="1" hidden="1">
      <c r="C55" s="332" t="s">
        <v>390</v>
      </c>
      <c r="D55" s="326"/>
    </row>
    <row r="56" spans="3:4" ht="19.5" customHeight="1" hidden="1">
      <c r="C56" s="332" t="s">
        <v>391</v>
      </c>
      <c r="D56" s="326"/>
    </row>
    <row r="57" spans="3:4" ht="19.5" customHeight="1" hidden="1">
      <c r="C57" s="332" t="s">
        <v>392</v>
      </c>
      <c r="D57" s="323"/>
    </row>
    <row r="58" spans="3:4" ht="19.5" customHeight="1" hidden="1">
      <c r="C58" s="332" t="s">
        <v>393</v>
      </c>
      <c r="D58" s="323"/>
    </row>
    <row r="59" spans="3:4" ht="19.5" customHeight="1" hidden="1">
      <c r="C59" s="333" t="s">
        <v>394</v>
      </c>
      <c r="D59" s="323"/>
    </row>
    <row r="60" spans="3:4" ht="19.5" customHeight="1" hidden="1">
      <c r="C60" s="334" t="s">
        <v>395</v>
      </c>
      <c r="D60" s="323"/>
    </row>
    <row r="61" spans="3:4" ht="19.5" customHeight="1" hidden="1">
      <c r="C61" s="334" t="s">
        <v>396</v>
      </c>
      <c r="D61" s="323"/>
    </row>
    <row r="62" spans="3:4" ht="19.5" customHeight="1" hidden="1">
      <c r="C62" s="91"/>
      <c r="D62" s="311"/>
    </row>
    <row r="63" spans="3:6" ht="19.5" customHeight="1">
      <c r="C63" s="91"/>
      <c r="D63" s="64"/>
      <c r="E63" s="319"/>
      <c r="F63" s="335"/>
    </row>
    <row r="64" spans="3:4" ht="19.5" customHeight="1">
      <c r="C64" s="591" t="s">
        <v>397</v>
      </c>
      <c r="D64" s="592"/>
    </row>
    <row r="65" spans="3:4" ht="19.5" customHeight="1">
      <c r="C65" s="317" t="s">
        <v>12</v>
      </c>
      <c r="D65" s="326" t="s">
        <v>103</v>
      </c>
    </row>
    <row r="66" spans="3:4" ht="19.5" customHeight="1">
      <c r="C66" s="336" t="s">
        <v>157</v>
      </c>
      <c r="D66" s="337">
        <v>94.92</v>
      </c>
    </row>
    <row r="67" spans="3:8" ht="19.5" customHeight="1">
      <c r="C67" s="336" t="s">
        <v>398</v>
      </c>
      <c r="D67" s="338">
        <v>82.75</v>
      </c>
      <c r="H67" s="335"/>
    </row>
    <row r="68" spans="3:8" ht="19.5" customHeight="1">
      <c r="C68" s="336" t="s">
        <v>399</v>
      </c>
      <c r="D68" s="338">
        <v>198.13</v>
      </c>
      <c r="H68" s="335"/>
    </row>
    <row r="69" spans="3:8" ht="19.5" customHeight="1">
      <c r="C69" s="336" t="s">
        <v>219</v>
      </c>
      <c r="D69" s="338">
        <v>41.67</v>
      </c>
      <c r="H69" s="335"/>
    </row>
    <row r="70" spans="3:8" ht="19.5" customHeight="1">
      <c r="C70" s="336" t="s">
        <v>400</v>
      </c>
      <c r="D70" s="338">
        <v>300.2</v>
      </c>
      <c r="H70" s="335"/>
    </row>
    <row r="71" spans="3:8" ht="19.5" customHeight="1">
      <c r="C71" s="336" t="s">
        <v>409</v>
      </c>
      <c r="D71" s="338">
        <v>38.28</v>
      </c>
      <c r="H71" s="335"/>
    </row>
    <row r="72" spans="3:8" ht="19.5" customHeight="1">
      <c r="C72" s="336" t="s">
        <v>216</v>
      </c>
      <c r="D72" s="338">
        <v>29.29</v>
      </c>
      <c r="H72" s="335"/>
    </row>
    <row r="73" spans="3:8" ht="19.5" customHeight="1">
      <c r="C73" s="336" t="s">
        <v>401</v>
      </c>
      <c r="D73" s="338">
        <v>32.51</v>
      </c>
      <c r="H73" s="335"/>
    </row>
    <row r="74" spans="3:8" ht="19.5" customHeight="1">
      <c r="C74" s="336" t="s">
        <v>402</v>
      </c>
      <c r="D74" s="338">
        <v>53.89</v>
      </c>
      <c r="H74" s="335"/>
    </row>
    <row r="75" spans="3:8" ht="19.5" customHeight="1">
      <c r="C75" s="336" t="s">
        <v>220</v>
      </c>
      <c r="D75" s="338">
        <v>9.93</v>
      </c>
      <c r="H75" s="335"/>
    </row>
    <row r="76" spans="3:8" ht="19.5" customHeight="1">
      <c r="C76" s="336" t="s">
        <v>217</v>
      </c>
      <c r="D76" s="338">
        <v>3.85</v>
      </c>
      <c r="H76" s="335"/>
    </row>
    <row r="77" spans="3:8" ht="19.5" customHeight="1">
      <c r="C77" s="336" t="s">
        <v>403</v>
      </c>
      <c r="D77" s="338">
        <v>148.72</v>
      </c>
      <c r="H77" s="335"/>
    </row>
    <row r="78" spans="3:8" ht="19.5" customHeight="1">
      <c r="C78" s="336" t="s">
        <v>268</v>
      </c>
      <c r="D78" s="338">
        <v>345.94</v>
      </c>
      <c r="H78" s="335"/>
    </row>
    <row r="79" spans="3:8" ht="19.5" customHeight="1">
      <c r="C79" s="336" t="s">
        <v>412</v>
      </c>
      <c r="D79" s="339">
        <v>41.8</v>
      </c>
      <c r="E79" s="588"/>
      <c r="F79" s="588"/>
      <c r="G79" s="588"/>
      <c r="H79" s="335"/>
    </row>
    <row r="80" spans="3:8" ht="19.5" customHeight="1">
      <c r="C80" s="336" t="s">
        <v>404</v>
      </c>
      <c r="D80" s="339">
        <v>1.65</v>
      </c>
      <c r="E80" s="588"/>
      <c r="F80" s="588"/>
      <c r="G80" s="588"/>
      <c r="H80" s="335"/>
    </row>
    <row r="81" spans="3:8" ht="19.5" customHeight="1">
      <c r="C81" s="336" t="s">
        <v>405</v>
      </c>
      <c r="D81" s="339">
        <v>39.31</v>
      </c>
      <c r="E81" s="588"/>
      <c r="F81" s="588"/>
      <c r="G81" s="588"/>
      <c r="H81" s="335"/>
    </row>
    <row r="82" spans="3:8" ht="19.5" customHeight="1">
      <c r="C82" s="336" t="s">
        <v>411</v>
      </c>
      <c r="D82" s="339">
        <v>14.45</v>
      </c>
      <c r="E82" s="62"/>
      <c r="F82" s="62"/>
      <c r="G82" s="62"/>
      <c r="H82" s="335"/>
    </row>
    <row r="83" spans="3:8" ht="19.5" customHeight="1">
      <c r="C83" s="336" t="s">
        <v>406</v>
      </c>
      <c r="D83" s="339">
        <v>15.71</v>
      </c>
      <c r="E83" s="588"/>
      <c r="F83" s="588"/>
      <c r="G83" s="588"/>
      <c r="H83" s="335"/>
    </row>
    <row r="84" spans="3:8" ht="19.5" customHeight="1">
      <c r="C84" s="336" t="s">
        <v>407</v>
      </c>
      <c r="D84" s="340">
        <v>37.34</v>
      </c>
      <c r="E84" s="62"/>
      <c r="F84" s="62"/>
      <c r="G84" s="62"/>
      <c r="H84" s="335"/>
    </row>
    <row r="85" spans="3:8" ht="19.5" customHeight="1">
      <c r="C85" s="336" t="s">
        <v>410</v>
      </c>
      <c r="D85" s="339">
        <v>27.33</v>
      </c>
      <c r="E85" s="62"/>
      <c r="F85" s="62"/>
      <c r="G85" s="62"/>
      <c r="H85" s="335"/>
    </row>
    <row r="86" spans="3:4" ht="19.5" customHeight="1">
      <c r="C86" s="336" t="s">
        <v>408</v>
      </c>
      <c r="D86" s="339">
        <v>5.2</v>
      </c>
    </row>
    <row r="87" spans="3:4" ht="19.5" customHeight="1">
      <c r="C87" s="341"/>
      <c r="D87" s="342"/>
    </row>
    <row r="88" spans="3:4" ht="19.5" customHeight="1">
      <c r="C88" s="341"/>
      <c r="D88" s="342"/>
    </row>
    <row r="89" spans="2:6" ht="19.5" customHeight="1">
      <c r="B89" s="319"/>
      <c r="C89" s="343"/>
      <c r="D89" s="342"/>
      <c r="E89" s="319"/>
      <c r="F89" s="335"/>
    </row>
    <row r="90" spans="2:11" ht="19.5" customHeight="1">
      <c r="B90" s="319"/>
      <c r="C90" s="319"/>
      <c r="D90" s="344"/>
      <c r="E90" s="345"/>
      <c r="F90" s="346"/>
      <c r="G90" s="213"/>
      <c r="H90" s="214"/>
      <c r="I90" s="213"/>
      <c r="J90" s="214"/>
      <c r="K90" s="213"/>
    </row>
    <row r="91" spans="3:11" ht="13.5" customHeight="1">
      <c r="C91" s="317" t="s">
        <v>12</v>
      </c>
      <c r="D91" s="326" t="s">
        <v>103</v>
      </c>
      <c r="E91" s="347"/>
      <c r="F91" s="214"/>
      <c r="G91" s="213"/>
      <c r="I91" s="213"/>
      <c r="J91" s="214"/>
      <c r="K91" s="213"/>
    </row>
    <row r="92" spans="3:5" ht="19.5" customHeight="1">
      <c r="C92" s="316" t="s">
        <v>111</v>
      </c>
      <c r="D92" s="348">
        <v>215.25</v>
      </c>
      <c r="E92" s="349">
        <f>149.06*1.065</f>
        <v>158.75</v>
      </c>
    </row>
    <row r="93" spans="3:5" ht="19.5" customHeight="1">
      <c r="C93" s="316" t="s">
        <v>53</v>
      </c>
      <c r="D93" s="348">
        <f>D92/12</f>
        <v>17.94</v>
      </c>
      <c r="E93" s="349">
        <f>E92</f>
        <v>158.75</v>
      </c>
    </row>
    <row r="94" spans="3:5" ht="19.5" customHeight="1">
      <c r="C94" s="316" t="s">
        <v>253</v>
      </c>
      <c r="D94" s="348">
        <f>D93</f>
        <v>17.94</v>
      </c>
      <c r="E94" s="349"/>
    </row>
    <row r="95" spans="3:5" ht="19.5" customHeight="1">
      <c r="C95" s="316" t="s">
        <v>5</v>
      </c>
      <c r="D95" s="348">
        <v>3.8</v>
      </c>
      <c r="E95" s="349">
        <f>D95</f>
        <v>3.8</v>
      </c>
    </row>
    <row r="96" spans="3:5" ht="19.5" customHeight="1">
      <c r="C96" s="322" t="s">
        <v>112</v>
      </c>
      <c r="D96" s="350">
        <v>15.23</v>
      </c>
      <c r="E96" s="351">
        <f>11.45*1.065</f>
        <v>12.19</v>
      </c>
    </row>
    <row r="97" spans="3:5" ht="19.5" customHeight="1">
      <c r="C97" s="322" t="s">
        <v>170</v>
      </c>
      <c r="D97" s="350">
        <v>60</v>
      </c>
      <c r="E97" s="351">
        <v>50</v>
      </c>
    </row>
    <row r="98" spans="3:5" ht="19.5" customHeight="1">
      <c r="C98" s="316" t="s">
        <v>54</v>
      </c>
      <c r="D98" s="348">
        <v>14</v>
      </c>
      <c r="E98" s="349">
        <f>D98</f>
        <v>14</v>
      </c>
    </row>
    <row r="99" spans="3:5" ht="19.5" customHeight="1">
      <c r="C99" s="319"/>
      <c r="D99" s="352"/>
      <c r="E99" s="349"/>
    </row>
    <row r="100" spans="4:5" ht="19.5" customHeight="1">
      <c r="D100" s="311"/>
      <c r="E100" s="349"/>
    </row>
    <row r="101" spans="3:8" ht="12" customHeight="1">
      <c r="C101" s="586"/>
      <c r="D101" s="586"/>
      <c r="E101" s="586"/>
      <c r="F101" s="586"/>
      <c r="G101" s="586"/>
      <c r="H101" s="586"/>
    </row>
    <row r="102" spans="3:8" ht="15" customHeight="1">
      <c r="C102" s="587"/>
      <c r="D102" s="587"/>
      <c r="E102" s="587"/>
      <c r="F102" s="587"/>
      <c r="G102" s="587"/>
      <c r="H102" s="353"/>
    </row>
    <row r="103" spans="3:8" ht="12.75" customHeight="1">
      <c r="C103" s="587"/>
      <c r="D103" s="587"/>
      <c r="E103" s="587"/>
      <c r="F103" s="587"/>
      <c r="G103" s="587"/>
      <c r="H103" s="353"/>
    </row>
    <row r="104" spans="3:8" ht="19.5" customHeight="1">
      <c r="C104" s="354"/>
      <c r="D104" s="354"/>
      <c r="E104" s="355"/>
      <c r="F104" s="355"/>
      <c r="G104" s="355"/>
      <c r="H104" s="356"/>
    </row>
    <row r="105" spans="3:8" ht="19.5" customHeight="1">
      <c r="C105" s="585"/>
      <c r="D105" s="585"/>
      <c r="E105" s="585"/>
      <c r="F105" s="585"/>
      <c r="G105" s="585"/>
      <c r="H105" s="585"/>
    </row>
    <row r="107" ht="19.5" customHeight="1">
      <c r="C107" s="91"/>
    </row>
    <row r="108" ht="19.5" customHeight="1">
      <c r="C108" s="91"/>
    </row>
    <row r="109" ht="19.5" customHeight="1">
      <c r="C109" s="91"/>
    </row>
  </sheetData>
  <sheetProtection/>
  <mergeCells count="14">
    <mergeCell ref="C3:D3"/>
    <mergeCell ref="C64:D64"/>
    <mergeCell ref="C1:D2"/>
    <mergeCell ref="E83:G83"/>
    <mergeCell ref="C22:D22"/>
    <mergeCell ref="C31:D31"/>
    <mergeCell ref="C36:D36"/>
    <mergeCell ref="C105:H105"/>
    <mergeCell ref="C101:H101"/>
    <mergeCell ref="C102:G102"/>
    <mergeCell ref="E81:G81"/>
    <mergeCell ref="C103:G103"/>
    <mergeCell ref="E79:G79"/>
    <mergeCell ref="E80:G80"/>
  </mergeCells>
  <printOptions horizontalCentered="1"/>
  <pageMargins left="0.1968503937007874" right="0.1968503937007874" top="0.2755905511811024" bottom="1.1811023622047245" header="0.5118110236220472" footer="0.5118110236220472"/>
  <pageSetup fitToHeight="0" fitToWidth="1" horizontalDpi="600" verticalDpi="600" orientation="portrait" paperSize="9" scale="90" r:id="rId2"/>
  <rowBreaks count="1" manualBreakCount="1">
    <brk id="63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2021-09-14T22:15:21Z</dcterms:created>
  <dcterms:modified xsi:type="dcterms:W3CDTF">2022-04-12T11:35:59Z</dcterms:modified>
  <cp:category/>
  <cp:version/>
  <cp:contentType/>
  <cp:contentStatus/>
</cp:coreProperties>
</file>